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xl/comments3.xml" ContentType="application/vnd.openxmlformats-officedocument.spreadsheetml.comments+xml"/>
  <Override PartName="/xl/drawings/drawing3.xml" ContentType="application/vnd.openxmlformats-officedocument.drawing+xml"/>
  <Override PartName="/xl/comments4.xml" ContentType="application/vnd.openxmlformats-officedocument.spreadsheetml.comments+xml"/>
  <Override PartName="/xl/drawings/drawing4.xml" ContentType="application/vnd.openxmlformats-officedocument.drawing+xml"/>
  <Override PartName="/xl/comments5.xml" ContentType="application/vnd.openxmlformats-officedocument.spreadsheetml.comments+xml"/>
  <Override PartName="/xl/drawings/drawing5.xml" ContentType="application/vnd.openxmlformats-officedocument.drawing+xml"/>
  <Override PartName="/xl/comments6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drawings/drawing8.xml" ContentType="application/vnd.openxmlformats-officedocument.drawing+xml"/>
  <Override PartName="/xl/comments8.xml" ContentType="application/vnd.openxmlformats-officedocument.spreadsheetml.comments+xml"/>
  <Override PartName="/xl/drawings/drawing9.xml" ContentType="application/vnd.openxmlformats-officedocument.drawing+xml"/>
  <Override PartName="/xl/comments9.xml" ContentType="application/vnd.openxmlformats-officedocument.spreadsheetml.comments+xml"/>
  <Override PartName="/xl/drawings/drawing10.xml" ContentType="application/vnd.openxmlformats-officedocument.drawing+xml"/>
  <Override PartName="/xl/comments10.xml" ContentType="application/vnd.openxmlformats-officedocument.spreadsheetml.comments+xml"/>
  <Override PartName="/xl/drawings/drawing11.xml" ContentType="application/vnd.openxmlformats-officedocument.drawing+xml"/>
  <Override PartName="/xl/comments11.xml" ContentType="application/vnd.openxmlformats-officedocument.spreadsheetml.comments+xml"/>
  <Override PartName="/xl/drawings/drawing12.xml" ContentType="application/vnd.openxmlformats-officedocument.drawing+xml"/>
  <Override PartName="/xl/comments12.xml" ContentType="application/vnd.openxmlformats-officedocument.spreadsheetml.comments+xml"/>
  <Override PartName="/xl/drawings/drawing13.xml" ContentType="application/vnd.openxmlformats-officedocument.drawing+xml"/>
  <Override PartName="/xl/comments13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\\10.8.5.144\투자심사 Part\21.자산건전성 및 대손충당금\2024년\자산건전성 분류_24.07\"/>
    </mc:Choice>
  </mc:AlternateContent>
  <bookViews>
    <workbookView xWindow="0" yWindow="0" windowWidth="28800" windowHeight="12465" tabRatio="952"/>
  </bookViews>
  <sheets>
    <sheet name="요주의 이하 대체투자자산 목록" sheetId="10" r:id="rId1"/>
    <sheet name="김포 대포" sheetId="30" r:id="rId2"/>
    <sheet name="오산 외삼미동" sheetId="24" r:id="rId3"/>
    <sheet name="파주 운정" sheetId="36" r:id="rId4"/>
    <sheet name="강릉 송정동" sheetId="37" r:id="rId5"/>
    <sheet name="김해 대동" sheetId="38" r:id="rId6"/>
    <sheet name="남원 관광단지" sheetId="39" r:id="rId7"/>
    <sheet name="대전 문화동" sheetId="40" r:id="rId8"/>
    <sheet name="부산 명지동" sheetId="25" r:id="rId9"/>
    <sheet name="익산 중앙동" sheetId="11" r:id="rId10"/>
    <sheet name="연신내" sheetId="32" r:id="rId11"/>
    <sheet name="부산 양정동" sheetId="41" r:id="rId12"/>
    <sheet name="죽전 데이터센터" sheetId="31" r:id="rId13"/>
    <sheet name="울산 신정동" sheetId="42" r:id="rId14"/>
  </sheets>
  <definedNames>
    <definedName name="_xlnm._FilterDatabase" localSheetId="11" hidden="1">'부산 양정동'!$A$3:$S$3</definedName>
    <definedName name="_xlnm._FilterDatabase" localSheetId="0" hidden="1">'요주의 이하 대체투자자산 목록'!$B$3:$R$20</definedName>
    <definedName name="_xlnm._FilterDatabase" localSheetId="3" hidden="1">'파주 운정'!$A$3:$S$3</definedName>
    <definedName name="_xlnm.Print_Area" localSheetId="11">'부산 양정동'!$B$2:$O$7</definedName>
    <definedName name="_xlnm.Print_Area" localSheetId="3">'파주 운정'!$B$2:$O$40</definedName>
  </definedNames>
  <calcPr calcId="162913"/>
</workbook>
</file>

<file path=xl/calcChain.xml><?xml version="1.0" encoding="utf-8"?>
<calcChain xmlns="http://schemas.openxmlformats.org/spreadsheetml/2006/main">
  <c r="F7" i="10" l="1"/>
  <c r="F14" i="10" l="1"/>
  <c r="P22" i="41"/>
  <c r="M4" i="41"/>
  <c r="I4" i="41"/>
  <c r="H4" i="41"/>
  <c r="L4" i="41" s="1"/>
  <c r="F9" i="10"/>
  <c r="R17" i="39"/>
  <c r="M4" i="39" s="1"/>
  <c r="G4" i="39" s="1"/>
  <c r="E4" i="39" s="1"/>
  <c r="F5" i="39" s="1"/>
  <c r="L4" i="39"/>
  <c r="H4" i="39"/>
  <c r="F4" i="39"/>
  <c r="I38" i="37"/>
  <c r="M4" i="37" s="1"/>
  <c r="I13" i="37"/>
  <c r="H13" i="37"/>
  <c r="H12" i="37"/>
  <c r="I4" i="37" s="1"/>
  <c r="J11" i="37"/>
  <c r="L4" i="37"/>
  <c r="D4" i="37"/>
  <c r="G4" i="41" l="1"/>
  <c r="E4" i="41" s="1"/>
  <c r="F4" i="41"/>
  <c r="G4" i="37"/>
  <c r="E4" i="37" s="1"/>
  <c r="J12" i="37"/>
  <c r="J13" i="37" s="1"/>
  <c r="F4" i="37"/>
  <c r="F5" i="41" l="1"/>
  <c r="F2" i="41"/>
  <c r="F2" i="37"/>
  <c r="P4" i="37"/>
  <c r="Q4" i="37" s="1"/>
  <c r="E6" i="37"/>
  <c r="E5" i="37"/>
  <c r="O8" i="10"/>
  <c r="N8" i="10"/>
  <c r="M8" i="10"/>
  <c r="L8" i="10"/>
  <c r="K8" i="10"/>
  <c r="J8" i="10"/>
  <c r="I8" i="10"/>
  <c r="H8" i="10"/>
  <c r="G8" i="10"/>
  <c r="H16" i="10"/>
  <c r="G16" i="10"/>
  <c r="H13" i="10"/>
  <c r="G13" i="10"/>
  <c r="H12" i="10"/>
  <c r="G12" i="10"/>
  <c r="F16" i="10"/>
  <c r="F13" i="10"/>
  <c r="F12" i="10"/>
  <c r="H11" i="10"/>
  <c r="G11" i="10"/>
  <c r="F11" i="10"/>
  <c r="H10" i="10"/>
  <c r="G10" i="10"/>
  <c r="F10" i="10"/>
  <c r="F8" i="10"/>
  <c r="G6" i="10"/>
  <c r="H6" i="10"/>
  <c r="G5" i="10"/>
  <c r="H5" i="10"/>
  <c r="G4" i="10"/>
  <c r="H4" i="10"/>
  <c r="H12" i="42" l="1"/>
  <c r="H12" i="31"/>
  <c r="Q6" i="24"/>
  <c r="Q6" i="30" l="1"/>
  <c r="O16" i="10"/>
  <c r="M16" i="10"/>
  <c r="L16" i="10"/>
  <c r="K16" i="10"/>
  <c r="J16" i="10"/>
  <c r="O15" i="10"/>
  <c r="M15" i="10"/>
  <c r="L15" i="10"/>
  <c r="K15" i="10"/>
  <c r="J15" i="10"/>
  <c r="O14" i="10"/>
  <c r="L14" i="10"/>
  <c r="K14" i="10"/>
  <c r="O13" i="10"/>
  <c r="N13" i="10"/>
  <c r="M13" i="10"/>
  <c r="K13" i="10"/>
  <c r="J13" i="10"/>
  <c r="I16" i="10"/>
  <c r="I15" i="10"/>
  <c r="I13" i="10"/>
  <c r="O12" i="10"/>
  <c r="M12" i="10"/>
  <c r="L12" i="10"/>
  <c r="K12" i="10"/>
  <c r="J12" i="10"/>
  <c r="I12" i="10"/>
  <c r="O11" i="10"/>
  <c r="N11" i="10"/>
  <c r="L11" i="10"/>
  <c r="K11" i="10"/>
  <c r="J11" i="10"/>
  <c r="I11" i="10"/>
  <c r="O10" i="10"/>
  <c r="N10" i="10"/>
  <c r="M10" i="10"/>
  <c r="L10" i="10"/>
  <c r="K10" i="10"/>
  <c r="J10" i="10"/>
  <c r="I10" i="10"/>
  <c r="O9" i="10"/>
  <c r="N9" i="10"/>
  <c r="M9" i="10"/>
  <c r="L9" i="10"/>
  <c r="K9" i="10"/>
  <c r="J9" i="10"/>
  <c r="O6" i="10"/>
  <c r="N6" i="10"/>
  <c r="M6" i="10"/>
  <c r="L6" i="10"/>
  <c r="K6" i="10"/>
  <c r="J6" i="10"/>
  <c r="I6" i="10"/>
  <c r="O5" i="10"/>
  <c r="N5" i="10"/>
  <c r="M5" i="10"/>
  <c r="L5" i="10"/>
  <c r="K5" i="10"/>
  <c r="J5" i="10"/>
  <c r="O4" i="10"/>
  <c r="N4" i="10"/>
  <c r="M4" i="10"/>
  <c r="L4" i="10"/>
  <c r="K4" i="10"/>
  <c r="J4" i="10"/>
  <c r="O7" i="10"/>
  <c r="L7" i="10"/>
  <c r="K7" i="10"/>
  <c r="I7" i="10"/>
  <c r="F6" i="10"/>
  <c r="G45" i="30"/>
  <c r="G44" i="30"/>
  <c r="G43" i="30"/>
  <c r="G49" i="30" s="1"/>
  <c r="C37" i="30"/>
  <c r="O36" i="30"/>
  <c r="N36" i="30"/>
  <c r="C36" i="30"/>
  <c r="N35" i="30"/>
  <c r="O35" i="30" s="1"/>
  <c r="H35" i="30"/>
  <c r="N34" i="30"/>
  <c r="O34" i="30" s="1"/>
  <c r="H34" i="30"/>
  <c r="H36" i="30" s="1"/>
  <c r="O33" i="30"/>
  <c r="O32" i="30"/>
  <c r="O31" i="30"/>
  <c r="O30" i="30"/>
  <c r="H30" i="30"/>
  <c r="O29" i="30"/>
  <c r="O28" i="30"/>
  <c r="C27" i="30"/>
  <c r="C22" i="30"/>
  <c r="D21" i="30"/>
  <c r="D20" i="30"/>
  <c r="D19" i="30"/>
  <c r="C13" i="30"/>
  <c r="C30" i="30" s="1"/>
  <c r="C38" i="30" s="1"/>
  <c r="C12" i="30"/>
  <c r="I5" i="30"/>
  <c r="I4" i="30"/>
  <c r="K5" i="24"/>
  <c r="H4" i="24"/>
  <c r="K4" i="24"/>
  <c r="L20" i="42"/>
  <c r="I12" i="42"/>
  <c r="M4" i="42" s="1"/>
  <c r="N16" i="10" s="1"/>
  <c r="L4" i="42"/>
  <c r="I4" i="42"/>
  <c r="F4" i="42"/>
  <c r="N14" i="10"/>
  <c r="J14" i="10"/>
  <c r="M14" i="10"/>
  <c r="N37" i="40"/>
  <c r="M4" i="40" s="1"/>
  <c r="L4" i="40"/>
  <c r="G4" i="40" s="1"/>
  <c r="E4" i="40" s="1"/>
  <c r="I4" i="40"/>
  <c r="F4" i="40"/>
  <c r="D4" i="40"/>
  <c r="I9" i="10"/>
  <c r="K5" i="38"/>
  <c r="L5" i="38" s="1"/>
  <c r="I5" i="38"/>
  <c r="L4" i="38"/>
  <c r="G4" i="38" s="1"/>
  <c r="E4" i="38" s="1"/>
  <c r="I4" i="38"/>
  <c r="N7" i="10"/>
  <c r="J7" i="10"/>
  <c r="P35" i="36"/>
  <c r="K5" i="36"/>
  <c r="I5" i="36"/>
  <c r="H5" i="36"/>
  <c r="L5" i="36" s="1"/>
  <c r="M4" i="36"/>
  <c r="M5" i="36" s="1"/>
  <c r="I4" i="36"/>
  <c r="H4" i="36"/>
  <c r="L4" i="36" s="1"/>
  <c r="F4" i="36" s="1"/>
  <c r="I14" i="10" l="1"/>
  <c r="G9" i="10"/>
  <c r="H9" i="10"/>
  <c r="H7" i="10"/>
  <c r="M7" i="10"/>
  <c r="G4" i="42"/>
  <c r="E4" i="42" s="1"/>
  <c r="E6" i="42" s="1"/>
  <c r="O38" i="30"/>
  <c r="H37" i="30"/>
  <c r="S28" i="30" s="1"/>
  <c r="S30" i="30" s="1"/>
  <c r="G47" i="30"/>
  <c r="G50" i="30" s="1"/>
  <c r="G51" i="30" s="1"/>
  <c r="E5" i="42"/>
  <c r="P4" i="42"/>
  <c r="Q4" i="42" s="1"/>
  <c r="F2" i="42"/>
  <c r="G14" i="10"/>
  <c r="P4" i="40"/>
  <c r="Q4" i="40"/>
  <c r="P4" i="38"/>
  <c r="Q4" i="38" s="1"/>
  <c r="G5" i="38"/>
  <c r="E5" i="38" s="1"/>
  <c r="F5" i="38"/>
  <c r="F4" i="38"/>
  <c r="G7" i="10"/>
  <c r="D4" i="36"/>
  <c r="G5" i="36"/>
  <c r="F5" i="36"/>
  <c r="G4" i="36"/>
  <c r="E4" i="36" s="1"/>
  <c r="H14" i="10" l="1"/>
  <c r="H4" i="30"/>
  <c r="H5" i="30"/>
  <c r="P5" i="38"/>
  <c r="Q5" i="38" s="1"/>
  <c r="F2" i="36"/>
  <c r="F6" i="36"/>
  <c r="P4" i="36"/>
  <c r="Q4" i="36" s="1"/>
  <c r="D5" i="36"/>
  <c r="D6" i="36" s="1"/>
  <c r="L4" i="30" l="1"/>
  <c r="G4" i="30" s="1"/>
  <c r="L5" i="30"/>
  <c r="G5" i="30" s="1"/>
  <c r="E5" i="36"/>
  <c r="P5" i="36"/>
  <c r="F4" i="30" l="1"/>
  <c r="Q5" i="36"/>
  <c r="Q6" i="36" s="1"/>
  <c r="F5" i="30" l="1"/>
  <c r="D4" i="30"/>
  <c r="E4" i="30" l="1"/>
  <c r="D5" i="30"/>
  <c r="E5" i="30" l="1"/>
  <c r="P5" i="30"/>
  <c r="D6" i="30"/>
  <c r="P4" i="30"/>
  <c r="Q4" i="30" s="1"/>
  <c r="Q5" i="30" l="1"/>
  <c r="E6" i="30"/>
  <c r="F6" i="30" s="1"/>
  <c r="AE111" i="24" l="1"/>
  <c r="AE110" i="24"/>
  <c r="AE112" i="24" s="1"/>
  <c r="AC107" i="24"/>
  <c r="AE106" i="24"/>
  <c r="AE105" i="24"/>
  <c r="AE104" i="24"/>
  <c r="AE103" i="24"/>
  <c r="AE102" i="24"/>
  <c r="AE101" i="24"/>
  <c r="AE100" i="24"/>
  <c r="AE99" i="24"/>
  <c r="AE98" i="24"/>
  <c r="AE97" i="24"/>
  <c r="AE96" i="24"/>
  <c r="AE95" i="24"/>
  <c r="AE94" i="24"/>
  <c r="AE93" i="24"/>
  <c r="AE92" i="24"/>
  <c r="AE91" i="24"/>
  <c r="AE90" i="24"/>
  <c r="AE89" i="24"/>
  <c r="AE88" i="24"/>
  <c r="AE87" i="24"/>
  <c r="AE86" i="24"/>
  <c r="AE85" i="24"/>
  <c r="AE84" i="24"/>
  <c r="AE83" i="24"/>
  <c r="AE82" i="24"/>
  <c r="AE81" i="24"/>
  <c r="AE80" i="24"/>
  <c r="AE79" i="24"/>
  <c r="AE78" i="24"/>
  <c r="AE77" i="24"/>
  <c r="AE76" i="24"/>
  <c r="AE75" i="24"/>
  <c r="AE74" i="24"/>
  <c r="AE73" i="24"/>
  <c r="AE72" i="24"/>
  <c r="AE71" i="24"/>
  <c r="AE70" i="24"/>
  <c r="AE69" i="24"/>
  <c r="AE68" i="24"/>
  <c r="AE67" i="24"/>
  <c r="AE66" i="24"/>
  <c r="AE65" i="24"/>
  <c r="AE64" i="24"/>
  <c r="AE107" i="24" s="1"/>
  <c r="AF63" i="24"/>
  <c r="AE63" i="24"/>
  <c r="AG63" i="24" s="1"/>
  <c r="AE62" i="24"/>
  <c r="AG62" i="24" s="1"/>
  <c r="AF61" i="24"/>
  <c r="AG61" i="24" s="1"/>
  <c r="AE61" i="24"/>
  <c r="AE60" i="24"/>
  <c r="AG60" i="24" s="1"/>
  <c r="AE59" i="24"/>
  <c r="AG59" i="24" s="1"/>
  <c r="AE58" i="24"/>
  <c r="AG58" i="24" s="1"/>
  <c r="AG57" i="24"/>
  <c r="AE57" i="24"/>
  <c r="AE56" i="24"/>
  <c r="AG56" i="24" s="1"/>
  <c r="AE55" i="24"/>
  <c r="AG55" i="24" s="1"/>
  <c r="AE54" i="24"/>
  <c r="AG54" i="24" s="1"/>
  <c r="Z54" i="24"/>
  <c r="Z55" i="24" s="1"/>
  <c r="Z56" i="24" s="1"/>
  <c r="Z57" i="24" s="1"/>
  <c r="Z58" i="24" s="1"/>
  <c r="Z59" i="24" s="1"/>
  <c r="Z60" i="24" s="1"/>
  <c r="Z61" i="24" s="1"/>
  <c r="Z62" i="24" s="1"/>
  <c r="Z63" i="24" s="1"/>
  <c r="Z64" i="24" s="1"/>
  <c r="Z65" i="24" s="1"/>
  <c r="Z66" i="24" s="1"/>
  <c r="Z67" i="24" s="1"/>
  <c r="Z68" i="24" s="1"/>
  <c r="Z69" i="24" s="1"/>
  <c r="Z70" i="24" s="1"/>
  <c r="Z71" i="24" s="1"/>
  <c r="Z72" i="24" s="1"/>
  <c r="Z73" i="24" s="1"/>
  <c r="Z74" i="24" s="1"/>
  <c r="Z75" i="24" s="1"/>
  <c r="Z76" i="24" s="1"/>
  <c r="Z77" i="24" s="1"/>
  <c r="Z78" i="24" s="1"/>
  <c r="Z79" i="24" s="1"/>
  <c r="Z80" i="24" s="1"/>
  <c r="Z81" i="24" s="1"/>
  <c r="Z82" i="24" s="1"/>
  <c r="Z83" i="24" s="1"/>
  <c r="Z84" i="24" s="1"/>
  <c r="Z85" i="24" s="1"/>
  <c r="Z86" i="24" s="1"/>
  <c r="Z87" i="24" s="1"/>
  <c r="Z88" i="24" s="1"/>
  <c r="Z89" i="24" s="1"/>
  <c r="Z90" i="24" s="1"/>
  <c r="Z91" i="24" s="1"/>
  <c r="Z92" i="24" s="1"/>
  <c r="Z93" i="24" s="1"/>
  <c r="Z94" i="24" s="1"/>
  <c r="Z95" i="24" s="1"/>
  <c r="Z96" i="24" s="1"/>
  <c r="Z97" i="24" s="1"/>
  <c r="Z98" i="24" s="1"/>
  <c r="Z99" i="24" s="1"/>
  <c r="Z100" i="24" s="1"/>
  <c r="Z101" i="24" s="1"/>
  <c r="Z102" i="24" s="1"/>
  <c r="Z103" i="24" s="1"/>
  <c r="Z104" i="24" s="1"/>
  <c r="Z105" i="24" s="1"/>
  <c r="Z106" i="24" s="1"/>
  <c r="AC52" i="24"/>
  <c r="AE51" i="24"/>
  <c r="Z51" i="24"/>
  <c r="AE50" i="24"/>
  <c r="AE49" i="24"/>
  <c r="Z49" i="24"/>
  <c r="AE48" i="24"/>
  <c r="AE47" i="24"/>
  <c r="Z47" i="24"/>
  <c r="AE46" i="24"/>
  <c r="AE45" i="24"/>
  <c r="Z45" i="24"/>
  <c r="AE44" i="24"/>
  <c r="AE43" i="24"/>
  <c r="Z43" i="24"/>
  <c r="AE42" i="24"/>
  <c r="AE41" i="24"/>
  <c r="Z41" i="24"/>
  <c r="AE40" i="24"/>
  <c r="AE39" i="24"/>
  <c r="Z39" i="24"/>
  <c r="AE38" i="24"/>
  <c r="AE37" i="24"/>
  <c r="Z37" i="24"/>
  <c r="AE36" i="24"/>
  <c r="AE35" i="24"/>
  <c r="Z35" i="24"/>
  <c r="AE34" i="24"/>
  <c r="AE33" i="24"/>
  <c r="Z33" i="24"/>
  <c r="AE32" i="24"/>
  <c r="AE31" i="24"/>
  <c r="Z31" i="24"/>
  <c r="AE30" i="24"/>
  <c r="AE29" i="24"/>
  <c r="Z29" i="24"/>
  <c r="AE28" i="24"/>
  <c r="AE27" i="24"/>
  <c r="Z27" i="24"/>
  <c r="AE26" i="24"/>
  <c r="AE25" i="24"/>
  <c r="Z25" i="24"/>
  <c r="AE24" i="24"/>
  <c r="AE23" i="24"/>
  <c r="Z23" i="24"/>
  <c r="AE22" i="24"/>
  <c r="AE21" i="24"/>
  <c r="Z21" i="24"/>
  <c r="AE20" i="24"/>
  <c r="AE19" i="24"/>
  <c r="Z19" i="24"/>
  <c r="AE18" i="24"/>
  <c r="AE17" i="24"/>
  <c r="Z17" i="24"/>
  <c r="AE16" i="24"/>
  <c r="AE15" i="24"/>
  <c r="Z15" i="24"/>
  <c r="AE14" i="24"/>
  <c r="AG14" i="24" s="1"/>
  <c r="AE13" i="24"/>
  <c r="AG13" i="24" s="1"/>
  <c r="Z13" i="24"/>
  <c r="AG12" i="24"/>
  <c r="AE12" i="24"/>
  <c r="AE11" i="24"/>
  <c r="AG11" i="24" s="1"/>
  <c r="Z11" i="24"/>
  <c r="AE10" i="24"/>
  <c r="AG10" i="24" s="1"/>
  <c r="AE9" i="24"/>
  <c r="AG9" i="24" s="1"/>
  <c r="AG8" i="24"/>
  <c r="AE8" i="24"/>
  <c r="AF7" i="24"/>
  <c r="AE7" i="24"/>
  <c r="AG7" i="24" s="1"/>
  <c r="AE6" i="24"/>
  <c r="AG6" i="24" s="1"/>
  <c r="AG5" i="24"/>
  <c r="AE5" i="24"/>
  <c r="AE52" i="24" s="1"/>
  <c r="Z5" i="24"/>
  <c r="Z6" i="24" s="1"/>
  <c r="Z7" i="24" s="1"/>
  <c r="Z8" i="24" s="1"/>
  <c r="Z9" i="24" s="1"/>
  <c r="H5" i="24"/>
  <c r="AD111" i="24" l="1"/>
  <c r="AF111" i="24" s="1"/>
  <c r="AG107" i="24"/>
  <c r="AG52" i="24"/>
  <c r="AD110" i="24"/>
  <c r="AD112" i="24" l="1"/>
  <c r="AF112" i="24" s="1"/>
  <c r="AF110" i="24"/>
  <c r="E7" i="10" l="1"/>
  <c r="E8" i="10"/>
  <c r="R2" i="10" l="1"/>
  <c r="R1" i="10"/>
  <c r="H56" i="32" l="1"/>
  <c r="H55" i="32"/>
  <c r="J36" i="24"/>
  <c r="J35" i="24"/>
  <c r="J38" i="24"/>
  <c r="J37" i="24"/>
  <c r="J39" i="24"/>
  <c r="H57" i="32" l="1"/>
  <c r="K4" i="32" s="1"/>
  <c r="L13" i="10" s="1"/>
  <c r="O22" i="25" l="1"/>
  <c r="M4" i="25" s="1"/>
  <c r="L24" i="32" l="1"/>
  <c r="L25" i="32" s="1"/>
  <c r="I4" i="32"/>
  <c r="M4" i="32" l="1"/>
  <c r="F4" i="32"/>
  <c r="G4" i="32"/>
  <c r="E4" i="32" s="1"/>
  <c r="I4" i="31" l="1"/>
  <c r="E6" i="10"/>
  <c r="I12" i="31"/>
  <c r="M4" i="31" s="1"/>
  <c r="G4" i="31" l="1"/>
  <c r="N15" i="10"/>
  <c r="E4" i="31" l="1"/>
  <c r="H15" i="10"/>
  <c r="F2" i="31"/>
  <c r="E6" i="31"/>
  <c r="E5" i="31"/>
  <c r="F4" i="31"/>
  <c r="G15" i="10" s="1"/>
  <c r="P4" i="31" l="1"/>
  <c r="Q4" i="31" s="1"/>
  <c r="F15" i="10"/>
  <c r="I4" i="10"/>
  <c r="F4" i="10" l="1"/>
  <c r="I5" i="10" l="1"/>
  <c r="D5" i="25"/>
  <c r="L4" i="25"/>
  <c r="I4" i="25"/>
  <c r="U6" i="24"/>
  <c r="U8" i="24" s="1"/>
  <c r="I5" i="24"/>
  <c r="I4" i="24"/>
  <c r="G4" i="25" l="1"/>
  <c r="E4" i="25" s="1"/>
  <c r="E5" i="25" s="1"/>
  <c r="M11" i="10"/>
  <c r="F4" i="25"/>
  <c r="L5" i="24" l="1"/>
  <c r="G5" i="24" s="1"/>
  <c r="L4" i="24"/>
  <c r="G4" i="24" s="1"/>
  <c r="F4" i="24" l="1"/>
  <c r="D4" i="24" s="1"/>
  <c r="E4" i="24" s="1"/>
  <c r="F5" i="24"/>
  <c r="D5" i="24" l="1"/>
  <c r="E5" i="24" l="1"/>
  <c r="E6" i="24" s="1"/>
  <c r="P5" i="24"/>
  <c r="Q5" i="24" s="1"/>
  <c r="P4" i="24"/>
  <c r="Q4" i="24" s="1"/>
  <c r="D6" i="24"/>
  <c r="F6" i="24" s="1"/>
  <c r="F5" i="10" l="1"/>
  <c r="P23" i="11" l="1"/>
  <c r="M4" i="11" s="1"/>
  <c r="N12" i="10" s="1"/>
  <c r="E10" i="10" l="1"/>
  <c r="E17" i="10" s="1"/>
  <c r="I4" i="11" l="1"/>
  <c r="G4" i="11"/>
  <c r="E4" i="11" s="1"/>
  <c r="F4" i="11"/>
  <c r="B5" i="10"/>
  <c r="B6" i="10" s="1"/>
  <c r="B7" i="10" s="1"/>
  <c r="B8" i="10" s="1"/>
  <c r="B9" i="10" s="1"/>
  <c r="B10" i="10" l="1"/>
  <c r="B11" i="10" s="1"/>
  <c r="B12" i="10" s="1"/>
  <c r="B13" i="10" s="1"/>
  <c r="B14" i="10" s="1"/>
  <c r="E5" i="11"/>
  <c r="F17" i="10" l="1"/>
</calcChain>
</file>

<file path=xl/comments1.xml><?xml version="1.0" encoding="utf-8"?>
<comments xmlns="http://schemas.openxmlformats.org/spreadsheetml/2006/main">
  <authors>
    <author>User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comments10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comments11.xml><?xml version="1.0" encoding="utf-8"?>
<comments xmlns="http://schemas.openxmlformats.org/spreadsheetml/2006/main">
  <authors>
    <author>User</author>
    <author>LJS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</text>
    </comment>
    <comment ref="N4" authorId="1" shapeId="0">
      <text>
        <r>
          <rPr>
            <b/>
            <sz val="9"/>
            <color indexed="81"/>
            <rFont val="돋움"/>
            <family val="3"/>
            <charset val="129"/>
          </rPr>
          <t>유효이자율</t>
        </r>
        <r>
          <rPr>
            <b/>
            <sz val="9"/>
            <color indexed="81"/>
            <rFont val="Tahoma"/>
            <family val="2"/>
          </rPr>
          <t xml:space="preserve">, 
SAP </t>
        </r>
        <r>
          <rPr>
            <b/>
            <sz val="9"/>
            <color indexed="81"/>
            <rFont val="돋움"/>
            <family val="3"/>
            <charset val="129"/>
          </rPr>
          <t>숫자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돋움"/>
            <family val="3"/>
            <charset val="129"/>
          </rPr>
          <t>자동산출</t>
        </r>
        <r>
          <rPr>
            <b/>
            <sz val="9"/>
            <color indexed="81"/>
            <rFont val="Tahoma"/>
            <family val="2"/>
          </rPr>
          <t>)</t>
        </r>
      </text>
    </comment>
  </commentList>
</comments>
</file>

<file path=xl/comments12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comments13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comments2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  <comment ref="H28" authorId="0" shapeId="0">
      <text>
        <r>
          <rPr>
            <b/>
            <sz val="9"/>
            <color indexed="81"/>
            <rFont val="돋움"/>
            <family val="3"/>
            <charset val="129"/>
          </rPr>
          <t>수도권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서부권역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저온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임대차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사례</t>
        </r>
      </text>
    </comment>
  </commentList>
</comments>
</file>

<file path=xl/comments3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comments4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</text>
    </comment>
  </commentList>
</comments>
</file>

<file path=xl/comments5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comments6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comments7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comments8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comments9.xml><?xml version="1.0" encoding="utf-8"?>
<comments xmlns="http://schemas.openxmlformats.org/spreadsheetml/2006/main">
  <authors>
    <author>User</author>
  </authors>
  <commentList>
    <comment ref="H3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1"/>
            <color indexed="81"/>
            <rFont val="돋움"/>
            <family val="3"/>
            <charset val="129"/>
          </rPr>
          <t>전체분양수입금</t>
        </r>
        <r>
          <rPr>
            <sz val="11"/>
            <color indexed="81"/>
            <rFont val="Tahoma"/>
            <family val="2"/>
          </rPr>
          <t xml:space="preserve"> or
</t>
        </r>
        <r>
          <rPr>
            <sz val="11"/>
            <color indexed="81"/>
            <rFont val="돋움"/>
            <family val="3"/>
            <charset val="129"/>
          </rPr>
          <t>최근</t>
        </r>
        <r>
          <rPr>
            <sz val="11"/>
            <color indexed="81"/>
            <rFont val="Tahoma"/>
            <family val="2"/>
          </rPr>
          <t xml:space="preserve"> </t>
        </r>
        <r>
          <rPr>
            <sz val="11"/>
            <color indexed="81"/>
            <rFont val="돋움"/>
            <family val="3"/>
            <charset val="129"/>
          </rPr>
          <t>감정평가금액</t>
        </r>
      </text>
    </comment>
  </commentList>
</comments>
</file>

<file path=xl/sharedStrings.xml><?xml version="1.0" encoding="utf-8"?>
<sst xmlns="http://schemas.openxmlformats.org/spreadsheetml/2006/main" count="1009" uniqueCount="708">
  <si>
    <t>LN11801001</t>
  </si>
  <si>
    <t>LN11801002</t>
  </si>
  <si>
    <t>요주의</t>
  </si>
  <si>
    <t>L200900601001</t>
  </si>
  <si>
    <t>남원 관광지 개발사업</t>
  </si>
  <si>
    <t>남원 관광지 개발사업 ABL 대출</t>
  </si>
  <si>
    <t>L201000101001</t>
  </si>
  <si>
    <t>김해 대동첨단일반산업단지 PF</t>
  </si>
  <si>
    <t>L201200201001</t>
  </si>
  <si>
    <t>김포 대포 저온물류센터 PF</t>
  </si>
  <si>
    <t>L210400201001</t>
  </si>
  <si>
    <t>대전 문화공원 특례사업 PF</t>
  </si>
  <si>
    <t>L210900101001</t>
  </si>
  <si>
    <t>익산 중앙동 주상복합 PF</t>
  </si>
  <si>
    <t>L211000401001</t>
  </si>
  <si>
    <t>부산 명지동 오피스텔 PF</t>
  </si>
  <si>
    <t>L220400101001</t>
  </si>
  <si>
    <t>오산 외삼미동 공동주택 사업부지 담보대출</t>
  </si>
  <si>
    <t>L220800101001</t>
  </si>
  <si>
    <t>파주 운정 오피스텔 PF</t>
  </si>
  <si>
    <t>L220800301001</t>
  </si>
  <si>
    <t>강릉 송정동 복합숙박시설 PF</t>
  </si>
  <si>
    <t>(단위:백만원)</t>
    <phoneticPr fontId="18" type="noConversion"/>
  </si>
  <si>
    <t>NO</t>
    <phoneticPr fontId="21" type="noConversion"/>
  </si>
  <si>
    <t>트렌치ID</t>
    <phoneticPr fontId="18" type="noConversion"/>
  </si>
  <si>
    <t>약정명</t>
    <phoneticPr fontId="21" type="noConversion"/>
  </si>
  <si>
    <t>대출잔액</t>
    <phoneticPr fontId="21" type="noConversion"/>
  </si>
  <si>
    <t>회수예상가액</t>
    <phoneticPr fontId="15" type="noConversion"/>
  </si>
  <si>
    <t>담보의현재가치</t>
    <phoneticPr fontId="21" type="noConversion"/>
  </si>
  <si>
    <t>시장가격(시세)</t>
    <phoneticPr fontId="21" type="noConversion"/>
  </si>
  <si>
    <t>당사지분</t>
    <phoneticPr fontId="21" type="noConversion"/>
  </si>
  <si>
    <t>선순위채권</t>
    <phoneticPr fontId="21" type="noConversion"/>
  </si>
  <si>
    <t>매각가율</t>
    <phoneticPr fontId="21" type="noConversion"/>
  </si>
  <si>
    <t>처분비용</t>
    <phoneticPr fontId="21" type="noConversion"/>
  </si>
  <si>
    <t>기간</t>
    <phoneticPr fontId="21" type="noConversion"/>
  </si>
  <si>
    <t>EIR</t>
    <phoneticPr fontId="21" type="noConversion"/>
  </si>
  <si>
    <t>비고</t>
    <phoneticPr fontId="21" type="noConversion"/>
  </si>
  <si>
    <t>고정/추정손실</t>
    <phoneticPr fontId="18" type="noConversion"/>
  </si>
  <si>
    <t>요주의</t>
    <phoneticPr fontId="15" type="noConversion"/>
  </si>
  <si>
    <t>주2)담보의 현재가치=(시장가격*당시지분-선순위채권-처분비용)*매각가율/(1+EIR)^회수예상기간</t>
    <phoneticPr fontId="18" type="noConversion"/>
  </si>
  <si>
    <t>약정금액</t>
    <phoneticPr fontId="15" type="noConversion"/>
  </si>
  <si>
    <t>개별평가충당금</t>
    <phoneticPr fontId="18" type="noConversion"/>
  </si>
  <si>
    <t>고정</t>
    <phoneticPr fontId="18" type="noConversion"/>
  </si>
  <si>
    <t xml:space="preserve">    (출처: 인포케어옥션)</t>
    <phoneticPr fontId="15" type="noConversion"/>
  </si>
  <si>
    <t>4-1. 예상 공사기간 관련 자료</t>
    <phoneticPr fontId="15" type="noConversion"/>
  </si>
  <si>
    <t>4-2. 예상 공매기간 관련 자료</t>
    <phoneticPr fontId="15" type="noConversion"/>
  </si>
  <si>
    <r>
      <t>전용면적(m</t>
    </r>
    <r>
      <rPr>
        <vertAlign val="superscript"/>
        <sz val="11"/>
        <color theme="1"/>
        <rFont val="맑은 고딕"/>
        <family val="3"/>
        <charset val="129"/>
        <scheme val="minor"/>
      </rPr>
      <t>2</t>
    </r>
    <r>
      <rPr>
        <sz val="11"/>
        <color theme="1"/>
        <rFont val="맑은 고딕"/>
        <family val="3"/>
        <charset val="129"/>
        <scheme val="minor"/>
      </rPr>
      <t>)</t>
    </r>
    <phoneticPr fontId="15" type="noConversion"/>
  </si>
  <si>
    <t>매각가율(%)</t>
    <phoneticPr fontId="15" type="noConversion"/>
  </si>
  <si>
    <t>접수일</t>
    <phoneticPr fontId="15" type="noConversion"/>
  </si>
  <si>
    <t>낙찰허가일</t>
    <phoneticPr fontId="15" type="noConversion"/>
  </si>
  <si>
    <t>배당일</t>
    <phoneticPr fontId="15" type="noConversion"/>
  </si>
  <si>
    <t>경과기간</t>
    <phoneticPr fontId="15" type="noConversion"/>
  </si>
  <si>
    <t>기타</t>
    <phoneticPr fontId="15" type="noConversion"/>
  </si>
  <si>
    <t>회수의문</t>
    <phoneticPr fontId="18" type="noConversion"/>
  </si>
  <si>
    <r>
      <t xml:space="preserve">1. </t>
    </r>
    <r>
      <rPr>
        <sz val="10"/>
        <rFont val="돋움"/>
        <family val="3"/>
        <charset val="129"/>
      </rPr>
      <t>최근</t>
    </r>
    <r>
      <rPr>
        <sz val="10"/>
        <rFont val="Arial"/>
        <family val="2"/>
      </rPr>
      <t xml:space="preserve"> 3</t>
    </r>
    <r>
      <rPr>
        <sz val="10"/>
        <rFont val="돋움"/>
        <family val="3"/>
        <charset val="129"/>
      </rPr>
      <t>개월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지역별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매각가율</t>
    </r>
    <r>
      <rPr>
        <sz val="10"/>
        <rFont val="Arial"/>
        <family val="2"/>
      </rPr>
      <t>(</t>
    </r>
    <r>
      <rPr>
        <sz val="10"/>
        <rFont val="돋움"/>
        <family val="3"/>
        <charset val="129"/>
      </rPr>
      <t>경기도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오산시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외삼미동</t>
    </r>
    <r>
      <rPr>
        <sz val="10"/>
        <rFont val="Arial"/>
        <family val="2"/>
      </rPr>
      <t xml:space="preserve">), </t>
    </r>
    <r>
      <rPr>
        <sz val="10"/>
        <rFont val="돋움"/>
        <family val="3"/>
        <charset val="129"/>
      </rPr>
      <t>출처</t>
    </r>
    <r>
      <rPr>
        <sz val="10"/>
        <rFont val="Arial"/>
        <family val="2"/>
      </rPr>
      <t xml:space="preserve">: </t>
    </r>
    <r>
      <rPr>
        <sz val="10"/>
        <rFont val="돋움"/>
        <family val="3"/>
        <charset val="129"/>
      </rPr>
      <t>대한민국법원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법원경매정보</t>
    </r>
    <phoneticPr fontId="15" type="noConversion"/>
  </si>
  <si>
    <r>
      <t xml:space="preserve">2. </t>
    </r>
    <r>
      <rPr>
        <sz val="10"/>
        <rFont val="돋움"/>
        <family val="3"/>
        <charset val="129"/>
      </rPr>
      <t>최근</t>
    </r>
    <r>
      <rPr>
        <sz val="10"/>
        <rFont val="Arial"/>
        <family val="2"/>
      </rPr>
      <t xml:space="preserve"> 3</t>
    </r>
    <r>
      <rPr>
        <sz val="10"/>
        <rFont val="돋움"/>
        <family val="3"/>
        <charset val="129"/>
      </rPr>
      <t>개월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용도별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매각가율</t>
    </r>
    <r>
      <rPr>
        <sz val="10"/>
        <rFont val="Arial"/>
        <family val="2"/>
      </rPr>
      <t>(</t>
    </r>
    <r>
      <rPr>
        <sz val="10"/>
        <rFont val="돋움"/>
        <family val="3"/>
        <charset val="129"/>
      </rPr>
      <t>수원지방법원</t>
    </r>
    <r>
      <rPr>
        <sz val="10"/>
        <rFont val="Arial"/>
        <family val="2"/>
      </rPr>
      <t xml:space="preserve">), </t>
    </r>
    <r>
      <rPr>
        <sz val="10"/>
        <rFont val="돋움"/>
        <family val="3"/>
        <charset val="129"/>
      </rPr>
      <t>출처</t>
    </r>
    <r>
      <rPr>
        <sz val="10"/>
        <rFont val="Arial"/>
        <family val="2"/>
      </rPr>
      <t xml:space="preserve">: </t>
    </r>
    <r>
      <rPr>
        <sz val="10"/>
        <rFont val="돋움"/>
        <family val="3"/>
        <charset val="129"/>
      </rPr>
      <t>대한민국법원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법원경매정보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</si>
  <si>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3. 처분비용</t>
    </r>
    <r>
      <rPr>
        <sz val="11"/>
        <color theme="1"/>
        <rFont val="맑은 고딕"/>
        <family val="3"/>
        <charset val="129"/>
        <scheme val="minor"/>
      </rPr>
      <t xml:space="preserve"> : 준공 후 환가처분 가정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</si>
  <si>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2. 매각가율</t>
    </r>
    <r>
      <rPr>
        <sz val="11"/>
        <color theme="1"/>
        <rFont val="맑은 고딕"/>
        <family val="3"/>
        <charset val="129"/>
        <scheme val="minor"/>
      </rPr>
      <t xml:space="preserve"> : min(①, ②, ③)</t>
    </r>
    <phoneticPr fontId="15" type="noConversion"/>
  </si>
  <si>
    <t xml:space="preserve">    (출처: 대한민국법원 법원경매정보)</t>
    <phoneticPr fontId="15" type="noConversion"/>
  </si>
  <si>
    <t xml:space="preserve">    (출처: 인포케어 옥션)</t>
    <phoneticPr fontId="15" type="noConversion"/>
  </si>
  <si>
    <t>Tr. B-1</t>
    <phoneticPr fontId="15" type="noConversion"/>
  </si>
  <si>
    <t>합계</t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</si>
  <si>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1. 시장가격(시세)</t>
    </r>
    <r>
      <rPr>
        <sz val="11"/>
        <color theme="1"/>
        <rFont val="맑은 고딕"/>
        <family val="3"/>
        <charset val="129"/>
        <scheme val="minor"/>
      </rPr>
      <t xml:space="preserve"> : 분양수입금</t>
    </r>
    <phoneticPr fontId="15" type="noConversion"/>
  </si>
  <si>
    <t xml:space="preserve">    예상 공매기간 : 최근 1년간 전라북도 익산시 중앙동에서 진행된 매각사례가 없으므로, 보수적으로 1년 가정</t>
    <phoneticPr fontId="15" type="noConversion"/>
  </si>
  <si>
    <t>4-2. 예상 공매기간 관련 자료: 경매 사례 없음</t>
    <phoneticPr fontId="15" type="noConversion"/>
  </si>
  <si>
    <r>
      <t xml:space="preserve">現 상황 : 
① </t>
    </r>
    <r>
      <rPr>
        <b/>
        <u/>
        <sz val="10"/>
        <rFont val="맑은 고딕"/>
        <family val="3"/>
        <charset val="129"/>
        <scheme val="major"/>
      </rPr>
      <t>시행법인(남원테마파크)</t>
    </r>
    <r>
      <rPr>
        <sz val="10"/>
        <rFont val="맑은 고딕"/>
        <family val="3"/>
        <charset val="129"/>
        <scheme val="major"/>
      </rPr>
      <t xml:space="preserve"> : 실시협약 제 6조, 제13조 1항 2호, 제17조 2항 3조에 따라 </t>
    </r>
    <r>
      <rPr>
        <b/>
        <sz val="10"/>
        <rFont val="맑은 고딕"/>
        <family val="3"/>
        <charset val="129"/>
        <scheme val="major"/>
      </rPr>
      <t xml:space="preserve">주무관청(남원시) 대상으로 실시협약 해지 통보 </t>
    </r>
    <r>
      <rPr>
        <sz val="10"/>
        <rFont val="맑은 고딕"/>
        <family val="3"/>
        <charset val="129"/>
        <scheme val="major"/>
      </rPr>
      <t xml:space="preserve">('23.09.21)
② </t>
    </r>
    <r>
      <rPr>
        <b/>
        <u/>
        <sz val="10"/>
        <rFont val="맑은 고딕"/>
        <family val="3"/>
        <charset val="129"/>
        <scheme val="major"/>
      </rPr>
      <t>기초자산 대출 선순위 대주(사우스힐모노레일제일차)</t>
    </r>
    <r>
      <rPr>
        <sz val="10"/>
        <rFont val="맑은 고딕"/>
        <family val="3"/>
        <charset val="129"/>
        <scheme val="major"/>
      </rPr>
      <t xml:space="preserve"> : 대출약정서 제14조(채무불이행) 제1항 4호, 8호, 11호 및 21호에 따라 </t>
    </r>
    <r>
      <rPr>
        <b/>
        <sz val="10"/>
        <rFont val="맑은 고딕"/>
        <family val="3"/>
        <charset val="129"/>
        <scheme val="major"/>
      </rPr>
      <t xml:space="preserve">EoD 선언
③ 주무관청(남원시)이 실시협약상 의무 이행 거절
    → 주무관청 상대로 </t>
    </r>
    <r>
      <rPr>
        <b/>
        <u/>
        <sz val="10"/>
        <rFont val="맑은 고딕"/>
        <family val="3"/>
        <charset val="129"/>
        <scheme val="major"/>
      </rPr>
      <t>손해배상 소송 진행</t>
    </r>
    <r>
      <rPr>
        <sz val="10"/>
        <rFont val="맑은 고딕"/>
        <family val="3"/>
        <charset val="129"/>
        <scheme val="major"/>
      </rPr>
      <t xml:space="preserve">('23.11.24 소장 접수)   </t>
    </r>
    <r>
      <rPr>
        <b/>
        <sz val="10"/>
        <rFont val="맑은 고딕"/>
        <family val="3"/>
        <charset val="129"/>
        <scheme val="major"/>
      </rPr>
      <t>&gt;&gt;&gt;&gt;</t>
    </r>
    <phoneticPr fontId="15" type="noConversion"/>
  </si>
  <si>
    <t>특이사항</t>
    <phoneticPr fontId="15" type="noConversion"/>
  </si>
  <si>
    <r>
      <rPr>
        <sz val="10"/>
        <rFont val="돋움"/>
        <family val="3"/>
        <charset val="129"/>
      </rPr>
      <t>의정부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경전철</t>
    </r>
    <phoneticPr fontId="15" type="noConversion"/>
  </si>
  <si>
    <r>
      <rPr>
        <b/>
        <u/>
        <sz val="10"/>
        <rFont val="돋움"/>
        <family val="3"/>
        <charset val="129"/>
      </rPr>
      <t>사업시행자</t>
    </r>
    <r>
      <rPr>
        <b/>
        <u/>
        <sz val="10"/>
        <rFont val="Arial"/>
        <family val="2"/>
      </rPr>
      <t xml:space="preserve">, </t>
    </r>
    <r>
      <rPr>
        <b/>
        <u/>
        <sz val="10"/>
        <rFont val="돋움"/>
        <family val="3"/>
        <charset val="129"/>
      </rPr>
      <t>주무관청의
쌍방</t>
    </r>
    <r>
      <rPr>
        <b/>
        <u/>
        <sz val="10"/>
        <rFont val="Arial"/>
        <family val="2"/>
      </rPr>
      <t xml:space="preserve"> </t>
    </r>
    <r>
      <rPr>
        <b/>
        <u/>
        <sz val="10"/>
        <rFont val="돋움"/>
        <family val="3"/>
        <charset val="129"/>
      </rPr>
      <t>해지통보</t>
    </r>
    <phoneticPr fontId="15" type="noConversion"/>
  </si>
  <si>
    <t>기준일</t>
    <phoneticPr fontId="15" type="noConversion"/>
  </si>
  <si>
    <t>예상 준공기한</t>
    <phoneticPr fontId="15" type="noConversion"/>
  </si>
  <si>
    <t>예상 공매기간</t>
    <phoneticPr fontId="15" type="noConversion"/>
  </si>
  <si>
    <t xml:space="preserve">   (출처: 인포케어옥션)</t>
    <phoneticPr fontId="15" type="noConversion"/>
  </si>
  <si>
    <t>9개월</t>
    <phoneticPr fontId="15" type="noConversion"/>
  </si>
  <si>
    <t>요주의</t>
    <phoneticPr fontId="18" type="noConversion"/>
  </si>
  <si>
    <r>
      <rPr>
        <sz val="10"/>
        <rFont val="돋움"/>
        <family val="3"/>
        <charset val="129"/>
      </rPr>
      <t>인출일</t>
    </r>
    <r>
      <rPr>
        <sz val="10"/>
        <rFont val="Arial"/>
        <family val="2"/>
      </rPr>
      <t>: 2021-05-11</t>
    </r>
    <phoneticPr fontId="15" type="noConversion"/>
  </si>
  <si>
    <t>만기일</t>
    <phoneticPr fontId="15" type="noConversion"/>
  </si>
  <si>
    <t>2025-05-11</t>
    <phoneticPr fontId="15" type="noConversion"/>
  </si>
  <si>
    <t>11개월</t>
    <phoneticPr fontId="15" type="noConversion"/>
  </si>
  <si>
    <t>사정동</t>
  </si>
  <si>
    <t xml:space="preserve">    예상 공매기간 : 최근 1년간 부산 강서구 명지동 지역 집합건물(오피스텔 주거) 낙찰 Case 中 접수일부터 낙찰허가일까지 경과기간이 가장 긴 27개월 반영</t>
    <phoneticPr fontId="15" type="noConversion"/>
  </si>
  <si>
    <t>24개월</t>
    <phoneticPr fontId="15" type="noConversion"/>
  </si>
  <si>
    <t>27개월</t>
    <phoneticPr fontId="15" type="noConversion"/>
  </si>
  <si>
    <t>14개월</t>
    <phoneticPr fontId="15" type="noConversion"/>
  </si>
  <si>
    <t>주3)시장가격(시세), 매각가율, 처분비용, 기간 등은 분기마다 업데이트</t>
    <phoneticPr fontId="18" type="noConversion"/>
  </si>
  <si>
    <t>실착공일</t>
    <phoneticPr fontId="15" type="noConversion"/>
  </si>
  <si>
    <t>2024-01-31</t>
    <phoneticPr fontId="15" type="noConversion"/>
  </si>
  <si>
    <t>2028-01-31</t>
    <phoneticPr fontId="15" type="noConversion"/>
  </si>
  <si>
    <t>2029-01-31</t>
    <phoneticPr fontId="15" type="noConversion"/>
  </si>
  <si>
    <t>감평가('23.12)</t>
    <phoneticPr fontId="15" type="noConversion"/>
  </si>
  <si>
    <t>박희천</t>
    <phoneticPr fontId="15" type="noConversion"/>
  </si>
  <si>
    <t>초이스</t>
    <phoneticPr fontId="15" type="noConversion"/>
  </si>
  <si>
    <t>할인율</t>
    <phoneticPr fontId="15" type="noConversion"/>
  </si>
  <si>
    <r>
      <rPr>
        <sz val="10"/>
        <rFont val="돋움"/>
        <family val="3"/>
        <charset val="129"/>
      </rPr>
      <t>토지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부분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공매에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따른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할인율</t>
    </r>
    <phoneticPr fontId="15" type="noConversion"/>
  </si>
  <si>
    <r>
      <rPr>
        <sz val="10"/>
        <rFont val="돋움"/>
        <family val="3"/>
        <charset val="129"/>
      </rPr>
      <t>할인후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가격</t>
    </r>
    <phoneticPr fontId="15" type="noConversion"/>
  </si>
  <si>
    <t>&gt;&gt;집합평가 진행</t>
  </si>
  <si>
    <r>
      <rPr>
        <b/>
        <u/>
        <sz val="11"/>
        <color theme="1"/>
        <rFont val="맑은 고딕"/>
        <family val="3"/>
        <charset val="129"/>
        <scheme val="minor"/>
      </rPr>
      <t>1. 시장가격(시세)</t>
    </r>
    <r>
      <rPr>
        <sz val="11"/>
        <color theme="1"/>
        <rFont val="맑은 고딕"/>
        <family val="3"/>
        <charset val="129"/>
        <scheme val="minor"/>
      </rPr>
      <t xml:space="preserve"> : 분양완료된 용지 외 잔여용지 분양 수입금 반영(회계법인 실사보고서 반영(24.03))</t>
    </r>
    <phoneticPr fontId="15" type="noConversion"/>
  </si>
  <si>
    <t>추가 적립 충당금</t>
    <phoneticPr fontId="21" type="noConversion"/>
  </si>
  <si>
    <r>
      <rPr>
        <sz val="11"/>
        <rFont val="돋움"/>
        <family val="3"/>
        <charset val="129"/>
      </rPr>
      <t>금감원</t>
    </r>
    <r>
      <rPr>
        <sz val="11"/>
        <rFont val="Arial"/>
        <family val="2"/>
      </rPr>
      <t xml:space="preserve"> </t>
    </r>
    <r>
      <rPr>
        <sz val="11"/>
        <rFont val="돋움"/>
        <family val="3"/>
        <charset val="129"/>
      </rPr>
      <t>요구사항</t>
    </r>
    <phoneticPr fontId="15" type="noConversion"/>
  </si>
  <si>
    <t>&gt;&gt;&gt;</t>
    <phoneticPr fontId="15" type="noConversion"/>
  </si>
  <si>
    <t>최종 충당금</t>
    <phoneticPr fontId="21" type="noConversion"/>
  </si>
  <si>
    <t>요주의</t>
    <phoneticPr fontId="15" type="noConversion"/>
  </si>
  <si>
    <t>고정/추정손실</t>
  </si>
  <si>
    <t>유경민 과장</t>
  </si>
  <si>
    <t>이정석 과장</t>
  </si>
  <si>
    <r>
      <rPr>
        <b/>
        <u/>
        <sz val="11"/>
        <color theme="1"/>
        <rFont val="맑은 고딕"/>
        <family val="3"/>
        <charset val="129"/>
        <scheme val="minor"/>
      </rPr>
      <t>3. 매각가율</t>
    </r>
    <r>
      <rPr>
        <sz val="11"/>
        <color theme="1"/>
        <rFont val="맑은 고딕"/>
        <family val="3"/>
        <charset val="129"/>
        <scheme val="minor"/>
      </rPr>
      <t xml:space="preserve"> : min(①, ②, ③)</t>
    </r>
    <phoneticPr fontId="15" type="noConversion"/>
  </si>
  <si>
    <t>L211100101001</t>
  </si>
  <si>
    <t xml:space="preserve">연신내 주상복합 개발사업 PF </t>
  </si>
  <si>
    <t>L210700101001</t>
  </si>
  <si>
    <t>부산 양정동 주상복합 PF</t>
  </si>
  <si>
    <t>L220200401001</t>
  </si>
  <si>
    <t>죽전 데이터센터 PF</t>
  </si>
  <si>
    <t>2. 선순위채권</t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</si>
  <si>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1. 시장가격(시세)</t>
    </r>
    <r>
      <rPr>
        <sz val="11"/>
        <color theme="1"/>
        <rFont val="맑은 고딕"/>
        <family val="3"/>
        <charset val="129"/>
        <scheme val="minor"/>
      </rPr>
      <t xml:space="preserve"> : 최초 투자 심의 당시 준공 후 가치평가금액 중위값</t>
    </r>
    <phoneticPr fontId="15" type="noConversion"/>
  </si>
  <si>
    <t>L211100101001</t>
    <phoneticPr fontId="15" type="noConversion"/>
  </si>
  <si>
    <t>연신내 주상복합 개발사업 PF 대출</t>
    <phoneticPr fontId="15" type="noConversion"/>
  </si>
  <si>
    <t>준공예정일</t>
    <phoneticPr fontId="15" type="noConversion"/>
  </si>
  <si>
    <t>년</t>
    <phoneticPr fontId="15" type="noConversion"/>
  </si>
  <si>
    <t>개월</t>
    <phoneticPr fontId="15" type="noConversion"/>
  </si>
  <si>
    <t>주1)대손충당금 = 원금대손충당금 + 추가대손충당금</t>
    <phoneticPr fontId="18" type="noConversion"/>
  </si>
  <si>
    <t>③ 최근 12개월 소재지 공장 매각가율 : 사례 없음</t>
    <phoneticPr fontId="15" type="noConversion"/>
  </si>
  <si>
    <t>③ 최근 12개월 소재지 아파트 매각가율 : 거래사례 없음</t>
    <phoneticPr fontId="15" type="noConversion"/>
  </si>
  <si>
    <t>① 최근 3개월 소재지 매각가율 : 86.3%</t>
    <phoneticPr fontId="15" type="noConversion"/>
  </si>
  <si>
    <t>② 최근 3개월 소재지 법원 기타 부동산 매각가율 : 73.4%</t>
    <phoneticPr fontId="15" type="noConversion"/>
  </si>
  <si>
    <t>*처분 시 보수 규정 없음</t>
    <phoneticPr fontId="15" type="noConversion"/>
  </si>
  <si>
    <t>구분</t>
    <phoneticPr fontId="15" type="noConversion"/>
  </si>
  <si>
    <t>매각가율</t>
    <phoneticPr fontId="15" type="noConversion"/>
  </si>
  <si>
    <t>대상토지비중</t>
    <phoneticPr fontId="15" type="noConversion"/>
  </si>
  <si>
    <t>가중평균 매각가율</t>
    <phoneticPr fontId="15" type="noConversion"/>
  </si>
  <si>
    <t>대지</t>
    <phoneticPr fontId="15" type="noConversion"/>
  </si>
  <si>
    <t>임야</t>
    <phoneticPr fontId="15" type="noConversion"/>
  </si>
  <si>
    <t>전답</t>
    <phoneticPr fontId="15" type="noConversion"/>
  </si>
  <si>
    <t>겸용</t>
    <phoneticPr fontId="15" type="noConversion"/>
  </si>
  <si>
    <t>③ 최근 3개월 소재지 오피스텔 매각가율 : 0%, 6개월 기준 : 80.53%</t>
  </si>
  <si>
    <t>오피스텔</t>
  </si>
  <si>
    <t>근생시설</t>
  </si>
  <si>
    <t>③ 최근 3개월 소재지 매각가율 : 경매 case 없음</t>
    <phoneticPr fontId="15" type="noConversion"/>
  </si>
  <si>
    <r>
      <rPr>
        <sz val="10"/>
        <rFont val="돋움"/>
        <family val="3"/>
        <charset val="129"/>
      </rPr>
      <t>가중평균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매각가율</t>
    </r>
    <phoneticPr fontId="15" type="noConversion"/>
  </si>
  <si>
    <t>오피스텔</t>
    <phoneticPr fontId="15" type="noConversion"/>
  </si>
  <si>
    <t>근생시설</t>
    <phoneticPr fontId="15" type="noConversion"/>
  </si>
  <si>
    <t>③ 최근 3개월 소재지 대지 매각가율 : 43.14%</t>
    <phoneticPr fontId="15" type="noConversion"/>
  </si>
  <si>
    <t>회수의문</t>
  </si>
  <si>
    <t>이정석 과장</t>
    <phoneticPr fontId="15" type="noConversion"/>
  </si>
  <si>
    <t>이정석 과장</t>
    <phoneticPr fontId="15" type="noConversion"/>
  </si>
  <si>
    <t>유경민 과장</t>
    <phoneticPr fontId="15" type="noConversion"/>
  </si>
  <si>
    <t>유경민 과장</t>
    <phoneticPr fontId="15" type="noConversion"/>
  </si>
  <si>
    <t>고정/회수의문</t>
    <phoneticPr fontId="15" type="noConversion"/>
  </si>
  <si>
    <t>합계</t>
    <phoneticPr fontId="15" type="noConversion"/>
  </si>
  <si>
    <r>
      <t>7월 기준 대손충당금</t>
    </r>
    <r>
      <rPr>
        <vertAlign val="superscript"/>
        <sz val="10"/>
        <rFont val="맑은 고딕"/>
        <family val="3"/>
        <charset val="129"/>
        <scheme val="minor"/>
      </rPr>
      <t>주1)</t>
    </r>
    <phoneticPr fontId="18" type="noConversion"/>
  </si>
  <si>
    <t>L220100101001</t>
    <phoneticPr fontId="15" type="noConversion"/>
  </si>
  <si>
    <t>울산 신정동 주상복합 PF</t>
    <phoneticPr fontId="15" type="noConversion"/>
  </si>
  <si>
    <t>이정석 과장</t>
    <phoneticPr fontId="15" type="noConversion"/>
  </si>
  <si>
    <t>김포 대포 저온물류센터 PF</t>
    <phoneticPr fontId="15" type="noConversion"/>
  </si>
  <si>
    <t>구분</t>
  </si>
  <si>
    <t>공시지가</t>
    <phoneticPr fontId="18" type="noConversion"/>
  </si>
  <si>
    <t>74-3</t>
    <phoneticPr fontId="18" type="noConversion"/>
  </si>
  <si>
    <t>도로</t>
    <phoneticPr fontId="18" type="noConversion"/>
  </si>
  <si>
    <t>목장</t>
    <phoneticPr fontId="18" type="noConversion"/>
  </si>
  <si>
    <t>대</t>
    <phoneticPr fontId="18" type="noConversion"/>
  </si>
  <si>
    <t>114-1</t>
    <phoneticPr fontId="18" type="noConversion"/>
  </si>
  <si>
    <t>합계</t>
    <phoneticPr fontId="18" type="noConversion"/>
  </si>
  <si>
    <t>답</t>
    <phoneticPr fontId="18" type="noConversion"/>
  </si>
  <si>
    <t>67-8</t>
    <phoneticPr fontId="18" type="noConversion"/>
  </si>
  <si>
    <t>67-12</t>
    <phoneticPr fontId="18" type="noConversion"/>
  </si>
  <si>
    <t>전</t>
    <phoneticPr fontId="18" type="noConversion"/>
  </si>
  <si>
    <t>68</t>
    <phoneticPr fontId="18" type="noConversion"/>
  </si>
  <si>
    <t>75</t>
    <phoneticPr fontId="18" type="noConversion"/>
  </si>
  <si>
    <t>77</t>
    <phoneticPr fontId="18" type="noConversion"/>
  </si>
  <si>
    <t>78</t>
    <phoneticPr fontId="18" type="noConversion"/>
  </si>
  <si>
    <t>81</t>
    <phoneticPr fontId="18" type="noConversion"/>
  </si>
  <si>
    <t>84</t>
    <phoneticPr fontId="18" type="noConversion"/>
  </si>
  <si>
    <t>85</t>
    <phoneticPr fontId="18" type="noConversion"/>
  </si>
  <si>
    <t>96-1</t>
    <phoneticPr fontId="18" type="noConversion"/>
  </si>
  <si>
    <t>97</t>
    <phoneticPr fontId="18" type="noConversion"/>
  </si>
  <si>
    <t>99-2</t>
    <phoneticPr fontId="18" type="noConversion"/>
  </si>
  <si>
    <t>103-2</t>
    <phoneticPr fontId="18" type="noConversion"/>
  </si>
  <si>
    <t>103-3</t>
    <phoneticPr fontId="18" type="noConversion"/>
  </si>
  <si>
    <t>108</t>
    <phoneticPr fontId="18" type="noConversion"/>
  </si>
  <si>
    <t>109-2</t>
    <phoneticPr fontId="18" type="noConversion"/>
  </si>
  <si>
    <t>110</t>
    <phoneticPr fontId="18" type="noConversion"/>
  </si>
  <si>
    <t>창고</t>
    <phoneticPr fontId="18" type="noConversion"/>
  </si>
  <si>
    <t>114-2</t>
    <phoneticPr fontId="18" type="noConversion"/>
  </si>
  <si>
    <t>115-3</t>
    <phoneticPr fontId="18" type="noConversion"/>
  </si>
  <si>
    <t>191-2</t>
    <phoneticPr fontId="18" type="noConversion"/>
  </si>
  <si>
    <t>198-2</t>
    <phoneticPr fontId="18" type="noConversion"/>
  </si>
  <si>
    <t>201-6</t>
    <phoneticPr fontId="18" type="noConversion"/>
  </si>
  <si>
    <t>202-1</t>
    <phoneticPr fontId="18" type="noConversion"/>
  </si>
  <si>
    <t>202-3</t>
    <phoneticPr fontId="18" type="noConversion"/>
  </si>
  <si>
    <t>구분</t>
    <phoneticPr fontId="18" type="noConversion"/>
  </si>
  <si>
    <t>감정평가액(B)</t>
    <phoneticPr fontId="18" type="noConversion"/>
  </si>
  <si>
    <t>대비율(A/B)</t>
    <phoneticPr fontId="18" type="noConversion"/>
  </si>
  <si>
    <t>비농지</t>
    <phoneticPr fontId="18" type="noConversion"/>
  </si>
  <si>
    <t>농지</t>
    <phoneticPr fontId="18" type="noConversion"/>
  </si>
  <si>
    <t>[비농지]</t>
    <phoneticPr fontId="18" type="noConversion"/>
  </si>
  <si>
    <t>지번</t>
    <phoneticPr fontId="18" type="noConversion"/>
  </si>
  <si>
    <t>지목</t>
    <phoneticPr fontId="18" type="noConversion"/>
  </si>
  <si>
    <t>면적(㎡)</t>
    <phoneticPr fontId="18" type="noConversion"/>
  </si>
  <si>
    <t>2023개별공시지가</t>
    <phoneticPr fontId="18" type="noConversion"/>
  </si>
  <si>
    <t>감정평가</t>
    <phoneticPr fontId="18" type="noConversion"/>
  </si>
  <si>
    <t>대비율</t>
    <phoneticPr fontId="18" type="noConversion"/>
  </si>
  <si>
    <t>63-2</t>
    <phoneticPr fontId="18" type="noConversion"/>
  </si>
  <si>
    <t>대</t>
    <phoneticPr fontId="18" type="noConversion"/>
  </si>
  <si>
    <t>63-6</t>
    <phoneticPr fontId="18" type="noConversion"/>
  </si>
  <si>
    <t>도로</t>
    <phoneticPr fontId="18" type="noConversion"/>
  </si>
  <si>
    <t>67-13</t>
    <phoneticPr fontId="18" type="noConversion"/>
  </si>
  <si>
    <t>67-19</t>
    <phoneticPr fontId="18" type="noConversion"/>
  </si>
  <si>
    <t>73</t>
    <phoneticPr fontId="18" type="noConversion"/>
  </si>
  <si>
    <t>74-1</t>
    <phoneticPr fontId="18" type="noConversion"/>
  </si>
  <si>
    <t>74-2</t>
    <phoneticPr fontId="18" type="noConversion"/>
  </si>
  <si>
    <t>임야</t>
    <phoneticPr fontId="18" type="noConversion"/>
  </si>
  <si>
    <t>74-4</t>
    <phoneticPr fontId="18" type="noConversion"/>
  </si>
  <si>
    <t>74-5</t>
    <phoneticPr fontId="18" type="noConversion"/>
  </si>
  <si>
    <t>74-6</t>
    <phoneticPr fontId="18" type="noConversion"/>
  </si>
  <si>
    <t>74-24</t>
    <phoneticPr fontId="18" type="noConversion"/>
  </si>
  <si>
    <t>74-26</t>
    <phoneticPr fontId="18" type="noConversion"/>
  </si>
  <si>
    <t>74-28</t>
    <phoneticPr fontId="18" type="noConversion"/>
  </si>
  <si>
    <t>74-31</t>
    <phoneticPr fontId="18" type="noConversion"/>
  </si>
  <si>
    <t>74-34</t>
    <phoneticPr fontId="18" type="noConversion"/>
  </si>
  <si>
    <t>88-1</t>
    <phoneticPr fontId="18" type="noConversion"/>
  </si>
  <si>
    <t>88-3</t>
    <phoneticPr fontId="18" type="noConversion"/>
  </si>
  <si>
    <t>잡종지</t>
    <phoneticPr fontId="18" type="noConversion"/>
  </si>
  <si>
    <t>96</t>
    <phoneticPr fontId="18" type="noConversion"/>
  </si>
  <si>
    <t>대</t>
    <phoneticPr fontId="18" type="noConversion"/>
  </si>
  <si>
    <t>96-2</t>
    <phoneticPr fontId="18" type="noConversion"/>
  </si>
  <si>
    <t>도로</t>
    <phoneticPr fontId="18" type="noConversion"/>
  </si>
  <si>
    <t>99-1</t>
    <phoneticPr fontId="18" type="noConversion"/>
  </si>
  <si>
    <t>99-3</t>
    <phoneticPr fontId="18" type="noConversion"/>
  </si>
  <si>
    <t>99-5</t>
    <phoneticPr fontId="18" type="noConversion"/>
  </si>
  <si>
    <t>99-6</t>
    <phoneticPr fontId="18" type="noConversion"/>
  </si>
  <si>
    <t>99-7</t>
    <phoneticPr fontId="18" type="noConversion"/>
  </si>
  <si>
    <t>99-8</t>
    <phoneticPr fontId="18" type="noConversion"/>
  </si>
  <si>
    <t>99-9</t>
    <phoneticPr fontId="18" type="noConversion"/>
  </si>
  <si>
    <t>99-10</t>
    <phoneticPr fontId="18" type="noConversion"/>
  </si>
  <si>
    <t>임야</t>
    <phoneticPr fontId="18" type="noConversion"/>
  </si>
  <si>
    <t>99-11</t>
    <phoneticPr fontId="18" type="noConversion"/>
  </si>
  <si>
    <t>100-1</t>
    <phoneticPr fontId="18" type="noConversion"/>
  </si>
  <si>
    <t>묘지</t>
    <phoneticPr fontId="18" type="noConversion"/>
  </si>
  <si>
    <t>101</t>
    <phoneticPr fontId="18" type="noConversion"/>
  </si>
  <si>
    <t>103-1</t>
    <phoneticPr fontId="18" type="noConversion"/>
  </si>
  <si>
    <t>103-4</t>
    <phoneticPr fontId="18" type="noConversion"/>
  </si>
  <si>
    <t>104</t>
    <phoneticPr fontId="18" type="noConversion"/>
  </si>
  <si>
    <t>104-1</t>
    <phoneticPr fontId="18" type="noConversion"/>
  </si>
  <si>
    <t>105</t>
    <phoneticPr fontId="18" type="noConversion"/>
  </si>
  <si>
    <t>105-1</t>
    <phoneticPr fontId="18" type="noConversion"/>
  </si>
  <si>
    <t>105-2</t>
    <phoneticPr fontId="18" type="noConversion"/>
  </si>
  <si>
    <t>109</t>
    <phoneticPr fontId="18" type="noConversion"/>
  </si>
  <si>
    <t>109-1</t>
    <phoneticPr fontId="18" type="noConversion"/>
  </si>
  <si>
    <t>114-1</t>
    <phoneticPr fontId="18" type="noConversion"/>
  </si>
  <si>
    <t>창고</t>
    <phoneticPr fontId="18" type="noConversion"/>
  </si>
  <si>
    <t>115-3</t>
    <phoneticPr fontId="18" type="noConversion"/>
  </si>
  <si>
    <t>117-3</t>
    <phoneticPr fontId="18" type="noConversion"/>
  </si>
  <si>
    <t>117-5</t>
    <phoneticPr fontId="18" type="noConversion"/>
  </si>
  <si>
    <t>198-1</t>
    <phoneticPr fontId="18" type="noConversion"/>
  </si>
  <si>
    <t>산10</t>
    <phoneticPr fontId="18" type="noConversion"/>
  </si>
  <si>
    <t>산10-2</t>
    <phoneticPr fontId="18" type="noConversion"/>
  </si>
  <si>
    <t>합계</t>
    <phoneticPr fontId="18" type="noConversion"/>
  </si>
  <si>
    <t>[농지]</t>
    <phoneticPr fontId="18" type="noConversion"/>
  </si>
  <si>
    <t>63-1</t>
    <phoneticPr fontId="18" type="noConversion"/>
  </si>
  <si>
    <t>전</t>
    <phoneticPr fontId="18" type="noConversion"/>
  </si>
  <si>
    <t>63-5</t>
    <phoneticPr fontId="18" type="noConversion"/>
  </si>
  <si>
    <t>답</t>
    <phoneticPr fontId="18" type="noConversion"/>
  </si>
  <si>
    <t>64-1</t>
    <phoneticPr fontId="18" type="noConversion"/>
  </si>
  <si>
    <t>64-5</t>
    <phoneticPr fontId="18" type="noConversion"/>
  </si>
  <si>
    <t>66</t>
    <phoneticPr fontId="18" type="noConversion"/>
  </si>
  <si>
    <t>67-3</t>
    <phoneticPr fontId="18" type="noConversion"/>
  </si>
  <si>
    <t>67-5</t>
    <phoneticPr fontId="18" type="noConversion"/>
  </si>
  <si>
    <t>67-7</t>
    <phoneticPr fontId="18" type="noConversion"/>
  </si>
  <si>
    <t>67-9</t>
    <phoneticPr fontId="18" type="noConversion"/>
  </si>
  <si>
    <t>답</t>
    <phoneticPr fontId="18" type="noConversion"/>
  </si>
  <si>
    <t>67-15</t>
    <phoneticPr fontId="18" type="noConversion"/>
  </si>
  <si>
    <t>67-21</t>
    <phoneticPr fontId="18" type="noConversion"/>
  </si>
  <si>
    <t>74-25</t>
    <phoneticPr fontId="18" type="noConversion"/>
  </si>
  <si>
    <t>74-27</t>
    <phoneticPr fontId="18" type="noConversion"/>
  </si>
  <si>
    <t>과수원</t>
    <phoneticPr fontId="18" type="noConversion"/>
  </si>
  <si>
    <t>74-33</t>
    <phoneticPr fontId="18" type="noConversion"/>
  </si>
  <si>
    <t>과수원</t>
    <phoneticPr fontId="18" type="noConversion"/>
  </si>
  <si>
    <t>76</t>
    <phoneticPr fontId="18" type="noConversion"/>
  </si>
  <si>
    <t>82</t>
    <phoneticPr fontId="18" type="noConversion"/>
  </si>
  <si>
    <t>83</t>
    <phoneticPr fontId="18" type="noConversion"/>
  </si>
  <si>
    <t>86</t>
    <phoneticPr fontId="18" type="noConversion"/>
  </si>
  <si>
    <t>전</t>
    <phoneticPr fontId="18" type="noConversion"/>
  </si>
  <si>
    <t>88-5</t>
    <phoneticPr fontId="18" type="noConversion"/>
  </si>
  <si>
    <t>98</t>
    <phoneticPr fontId="18" type="noConversion"/>
  </si>
  <si>
    <t>99-12</t>
    <phoneticPr fontId="18" type="noConversion"/>
  </si>
  <si>
    <t>102</t>
    <phoneticPr fontId="18" type="noConversion"/>
  </si>
  <si>
    <t>117-4</t>
    <phoneticPr fontId="18" type="noConversion"/>
  </si>
  <si>
    <t>188-4</t>
    <phoneticPr fontId="18" type="noConversion"/>
  </si>
  <si>
    <t>190-1</t>
    <phoneticPr fontId="18" type="noConversion"/>
  </si>
  <si>
    <t>190-6</t>
    <phoneticPr fontId="18" type="noConversion"/>
  </si>
  <si>
    <t>197-1</t>
    <phoneticPr fontId="18" type="noConversion"/>
  </si>
  <si>
    <t>201-4</t>
    <phoneticPr fontId="18" type="noConversion"/>
  </si>
  <si>
    <t>공시지가(A)</t>
    <phoneticPr fontId="18" type="noConversion"/>
  </si>
  <si>
    <t>약정금액</t>
    <phoneticPr fontId="15" type="noConversion"/>
  </si>
  <si>
    <t>(단위:백만원)</t>
    <phoneticPr fontId="18" type="noConversion"/>
  </si>
  <si>
    <r>
      <rPr>
        <sz val="11"/>
        <rFont val="돋움"/>
        <family val="3"/>
        <charset val="129"/>
      </rPr>
      <t>금감원</t>
    </r>
    <r>
      <rPr>
        <sz val="11"/>
        <rFont val="Arial"/>
        <family val="2"/>
      </rPr>
      <t xml:space="preserve"> </t>
    </r>
    <r>
      <rPr>
        <sz val="11"/>
        <rFont val="돋움"/>
        <family val="3"/>
        <charset val="129"/>
      </rPr>
      <t>요구사항</t>
    </r>
    <phoneticPr fontId="15" type="noConversion"/>
  </si>
  <si>
    <t>&gt;&gt;&gt;</t>
    <phoneticPr fontId="15" type="noConversion"/>
  </si>
  <si>
    <t>트렌치ID</t>
    <phoneticPr fontId="18" type="noConversion"/>
  </si>
  <si>
    <t>약정명</t>
    <phoneticPr fontId="21" type="noConversion"/>
  </si>
  <si>
    <t>대출잔액</t>
    <phoneticPr fontId="21" type="noConversion"/>
  </si>
  <si>
    <t>개별평가충당금</t>
    <phoneticPr fontId="18" type="noConversion"/>
  </si>
  <si>
    <t>회수예상가액</t>
    <phoneticPr fontId="15" type="noConversion"/>
  </si>
  <si>
    <t>담보의현재가치</t>
    <phoneticPr fontId="21" type="noConversion"/>
  </si>
  <si>
    <t>시장가격(시세)</t>
    <phoneticPr fontId="21" type="noConversion"/>
  </si>
  <si>
    <t>당사지분</t>
    <phoneticPr fontId="21" type="noConversion"/>
  </si>
  <si>
    <t>선순위채권</t>
    <phoneticPr fontId="21" type="noConversion"/>
  </si>
  <si>
    <t>매각가율</t>
    <phoneticPr fontId="21" type="noConversion"/>
  </si>
  <si>
    <t>처분비용</t>
    <phoneticPr fontId="21" type="noConversion"/>
  </si>
  <si>
    <t>기간</t>
    <phoneticPr fontId="21" type="noConversion"/>
  </si>
  <si>
    <t>EIR</t>
    <phoneticPr fontId="21" type="noConversion"/>
  </si>
  <si>
    <t>비고</t>
    <phoneticPr fontId="21" type="noConversion"/>
  </si>
  <si>
    <t>추가 적립 충당금</t>
    <phoneticPr fontId="21" type="noConversion"/>
  </si>
  <si>
    <t>고정</t>
    <phoneticPr fontId="15" type="noConversion"/>
  </si>
  <si>
    <t>주1)대손충당금 = 대출잔액-담보의현재가치</t>
    <phoneticPr fontId="18" type="noConversion"/>
  </si>
  <si>
    <t>&gt;&gt;감평금액 X, 공사 진행 중인 건물</t>
    <phoneticPr fontId="15" type="noConversion"/>
  </si>
  <si>
    <t>주2)담보의 현재가치=(시장가격*당시지분-선순위채권-처분비용)*매각가율/(1+EIR)^회수예상기간</t>
    <phoneticPr fontId="18" type="noConversion"/>
  </si>
  <si>
    <t>90-&gt;85</t>
    <phoneticPr fontId="15" type="noConversion"/>
  </si>
  <si>
    <t>6-&gt;2</t>
    <phoneticPr fontId="15" type="noConversion"/>
  </si>
  <si>
    <t>주3)주택도시공사보증 대출은 담보의 현재가치=보증서 발급금액으로 산출</t>
    <phoneticPr fontId="18" type="noConversion"/>
  </si>
  <si>
    <r>
      <rPr>
        <b/>
        <u/>
        <sz val="11"/>
        <color theme="1"/>
        <rFont val="맑은 고딕"/>
        <family val="3"/>
        <charset val="129"/>
        <scheme val="minor"/>
      </rPr>
      <t>1. 시장가격(시세)</t>
    </r>
    <r>
      <rPr>
        <sz val="11"/>
        <color theme="1"/>
        <rFont val="맑은 고딕"/>
        <family val="3"/>
        <charset val="129"/>
        <scheme val="minor"/>
      </rPr>
      <t xml:space="preserve"> : 분양수입금에 2차 할인분양 반영</t>
    </r>
    <phoneticPr fontId="15" type="noConversion"/>
  </si>
  <si>
    <r>
      <rPr>
        <b/>
        <u/>
        <sz val="11"/>
        <color rgb="FFFF0000"/>
        <rFont val="맑은 고딕"/>
        <family val="3"/>
        <charset val="129"/>
        <scheme val="minor"/>
      </rPr>
      <t>3. 처분비용</t>
    </r>
    <r>
      <rPr>
        <sz val="11"/>
        <color rgb="FFFF0000"/>
        <rFont val="맑은 고딕"/>
        <family val="3"/>
        <charset val="129"/>
        <scheme val="minor"/>
      </rPr>
      <t xml:space="preserve"> : 준공 후 환가처분 가정하였으며, 본 건은 10억원 이상의 규모이므로 할부불처분시 처분보수 반영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</si>
  <si>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4. 기간</t>
    </r>
    <r>
      <rPr>
        <sz val="11"/>
        <color theme="1"/>
        <rFont val="맑은 고딕"/>
        <family val="3"/>
        <charset val="129"/>
        <scheme val="minor"/>
      </rPr>
      <t xml:space="preserve"> : 준공 후 공매 환가처분 가정하였으므로, 예상 공사기간(9개월) 및 공매기간(18개월) 고려하여 추정</t>
    </r>
    <phoneticPr fontId="15" type="noConversion"/>
  </si>
  <si>
    <t xml:space="preserve">cf. '24.01 3차 할인분양 trigger 발생할 예정 </t>
    <phoneticPr fontId="15" type="noConversion"/>
  </si>
  <si>
    <t xml:space="preserve">cf. 예상 공사기간 : ~ 2024.09.12 / </t>
    <phoneticPr fontId="15" type="noConversion"/>
  </si>
  <si>
    <t xml:space="preserve">    But 할인분양율이 어느정도인지 정해지지 않아 2차 할인분양율 반영</t>
    <phoneticPr fontId="15" type="noConversion"/>
  </si>
  <si>
    <t xml:space="preserve">    예상 공매기간 : 최근 1년간 경기도 파주시 와동동 지역 집합건물 낙찰 Case 中 접수일부터 낙찰허가일 까지 경과기간이 가장 긴 18개월 반영</t>
    <phoneticPr fontId="15" type="noConversion"/>
  </si>
  <si>
    <t>1-1. 분양가격</t>
    <phoneticPr fontId="15" type="noConversion"/>
  </si>
  <si>
    <t xml:space="preserve">    (출처: 인포케어옥션)</t>
    <phoneticPr fontId="15" type="noConversion"/>
  </si>
  <si>
    <t>4-1. 예상 공사기간 관련 자료</t>
    <phoneticPr fontId="15" type="noConversion"/>
  </si>
  <si>
    <r>
      <rPr>
        <b/>
        <sz val="11"/>
        <color theme="1"/>
        <rFont val="맑은 고딕"/>
        <family val="3"/>
        <charset val="129"/>
        <scheme val="minor"/>
      </rPr>
      <t>1-2. 대출약정서 제10조 8항</t>
    </r>
    <r>
      <rPr>
        <sz val="11"/>
        <color theme="1"/>
        <rFont val="맑은 고딕"/>
        <family val="3"/>
        <charset val="129"/>
        <scheme val="minor"/>
      </rPr>
      <t>(본건 건축물의 분양가 및 할인분양 등) :</t>
    </r>
    <phoneticPr fontId="15" type="noConversion"/>
  </si>
  <si>
    <t>4-2. 예상 공매기간 관련 자료</t>
    <phoneticPr fontId="15" type="noConversion"/>
  </si>
  <si>
    <r>
      <t>전용면적(m</t>
    </r>
    <r>
      <rPr>
        <vertAlign val="superscript"/>
        <sz val="11"/>
        <color theme="1"/>
        <rFont val="맑은 고딕"/>
        <family val="3"/>
        <charset val="129"/>
        <scheme val="minor"/>
      </rPr>
      <t>2</t>
    </r>
    <r>
      <rPr>
        <sz val="11"/>
        <color theme="1"/>
        <rFont val="맑은 고딕"/>
        <family val="3"/>
        <charset val="129"/>
        <scheme val="minor"/>
      </rPr>
      <t>)</t>
    </r>
    <phoneticPr fontId="15" type="noConversion"/>
  </si>
  <si>
    <t>매각가율(%)</t>
    <phoneticPr fontId="15" type="noConversion"/>
  </si>
  <si>
    <t>접수일</t>
    <phoneticPr fontId="15" type="noConversion"/>
  </si>
  <si>
    <t>낙찰허가일</t>
    <phoneticPr fontId="15" type="noConversion"/>
  </si>
  <si>
    <t>배당일</t>
    <phoneticPr fontId="15" type="noConversion"/>
  </si>
  <si>
    <t>경과기간</t>
    <phoneticPr fontId="15" type="noConversion"/>
  </si>
  <si>
    <t>기타</t>
    <phoneticPr fontId="15" type="noConversion"/>
  </si>
  <si>
    <t>2023.01.18</t>
    <phoneticPr fontId="15" type="noConversion"/>
  </si>
  <si>
    <t>2023.11.08</t>
    <phoneticPr fontId="15" type="noConversion"/>
  </si>
  <si>
    <t>10개월</t>
    <phoneticPr fontId="15" type="noConversion"/>
  </si>
  <si>
    <t>2022.04.14</t>
    <phoneticPr fontId="15" type="noConversion"/>
  </si>
  <si>
    <t>2023.10.18</t>
    <phoneticPr fontId="15" type="noConversion"/>
  </si>
  <si>
    <t>18개월</t>
    <phoneticPr fontId="15" type="noConversion"/>
  </si>
  <si>
    <t>인도명령</t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</si>
  <si>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2. 매각가율</t>
    </r>
    <r>
      <rPr>
        <sz val="11"/>
        <color theme="1"/>
        <rFont val="맑은 고딕"/>
        <family val="3"/>
        <charset val="129"/>
        <scheme val="minor"/>
      </rPr>
      <t xml:space="preserve"> : 최근 3개월 경기도 파주시 지역 오피스텔 매각가율 반영</t>
    </r>
    <phoneticPr fontId="15" type="noConversion"/>
  </si>
  <si>
    <t>2022.12.19</t>
    <phoneticPr fontId="15" type="noConversion"/>
  </si>
  <si>
    <t>2023.10.11</t>
    <phoneticPr fontId="15" type="noConversion"/>
  </si>
  <si>
    <t>2023.11.30</t>
    <phoneticPr fontId="15" type="noConversion"/>
  </si>
  <si>
    <t>10개월</t>
    <phoneticPr fontId="15" type="noConversion"/>
  </si>
  <si>
    <t xml:space="preserve">                  (출처: 부동산114 REPS, 인포케어 옥션)</t>
    <phoneticPr fontId="15" type="noConversion"/>
  </si>
  <si>
    <t>2022.12.29</t>
    <phoneticPr fontId="15" type="noConversion"/>
  </si>
  <si>
    <t>2023.10.05</t>
    <phoneticPr fontId="15" type="noConversion"/>
  </si>
  <si>
    <t>2022.04.05</t>
    <phoneticPr fontId="15" type="noConversion"/>
  </si>
  <si>
    <t>2023.04.18</t>
    <phoneticPr fontId="15" type="noConversion"/>
  </si>
  <si>
    <t>2023.07.06</t>
    <phoneticPr fontId="15" type="noConversion"/>
  </si>
  <si>
    <t>12개월</t>
    <phoneticPr fontId="15" type="noConversion"/>
  </si>
  <si>
    <t>인도명령</t>
    <phoneticPr fontId="15" type="noConversion"/>
  </si>
  <si>
    <t xml:space="preserve">※ 최근 3개월 매각가율 75.6% 이나, 적절한 충당금 설정 등을 위하여 </t>
    <phoneticPr fontId="15" type="noConversion"/>
  </si>
  <si>
    <t xml:space="preserve">   직전분기 매각가율(56.6%)에 약 +5% 가산하여 적용(59.57%)</t>
    <phoneticPr fontId="15" type="noConversion"/>
  </si>
  <si>
    <t>* 기준 통계 기간 : 2023/03/01~2024/02/29 낙찰 통계 하단과 동일</t>
    <phoneticPr fontId="15" type="noConversion"/>
  </si>
  <si>
    <t>기준일</t>
    <phoneticPr fontId="15" type="noConversion"/>
  </si>
  <si>
    <t>대출만기일</t>
    <phoneticPr fontId="15" type="noConversion"/>
  </si>
  <si>
    <t>예상 공매기간</t>
    <phoneticPr fontId="15" type="noConversion"/>
  </si>
  <si>
    <r>
      <rPr>
        <b/>
        <sz val="11"/>
        <color theme="1"/>
        <rFont val="맑은 고딕"/>
        <family val="3"/>
        <charset val="129"/>
        <scheme val="minor"/>
      </rPr>
      <t>2-2. 인포케어옥션</t>
    </r>
    <r>
      <rPr>
        <sz val="11"/>
        <color theme="1"/>
        <rFont val="맑은 고딕"/>
        <family val="3"/>
        <charset val="129"/>
        <scheme val="minor"/>
      </rPr>
      <t xml:space="preserve"> :</t>
    </r>
    <phoneticPr fontId="15" type="noConversion"/>
  </si>
  <si>
    <t>대출잔액</t>
    <phoneticPr fontId="21" type="noConversion"/>
  </si>
  <si>
    <t>시장가격(시세)</t>
    <phoneticPr fontId="21" type="noConversion"/>
  </si>
  <si>
    <t>당사지분</t>
    <phoneticPr fontId="21" type="noConversion"/>
  </si>
  <si>
    <t>선순위채권</t>
    <phoneticPr fontId="21" type="noConversion"/>
  </si>
  <si>
    <t>매각가율</t>
    <phoneticPr fontId="21" type="noConversion"/>
  </si>
  <si>
    <t>기간</t>
    <phoneticPr fontId="21" type="noConversion"/>
  </si>
  <si>
    <t>비고</t>
    <phoneticPr fontId="21" type="noConversion"/>
  </si>
  <si>
    <t>기준일</t>
    <phoneticPr fontId="15" type="noConversion"/>
  </si>
  <si>
    <t>(단위:백만원)</t>
    <phoneticPr fontId="18" type="noConversion"/>
  </si>
  <si>
    <t>트렌치ID</t>
    <phoneticPr fontId="18" type="noConversion"/>
  </si>
  <si>
    <t>약정명</t>
    <phoneticPr fontId="21" type="noConversion"/>
  </si>
  <si>
    <t>대출잔액</t>
    <phoneticPr fontId="21" type="noConversion"/>
  </si>
  <si>
    <t>개별평가충당금</t>
    <phoneticPr fontId="18" type="noConversion"/>
  </si>
  <si>
    <t>회수예상가액</t>
    <phoneticPr fontId="15" type="noConversion"/>
  </si>
  <si>
    <t>담보의현재가치</t>
    <phoneticPr fontId="21" type="noConversion"/>
  </si>
  <si>
    <t>당사지분</t>
    <phoneticPr fontId="21" type="noConversion"/>
  </si>
  <si>
    <t>선순위채권</t>
    <phoneticPr fontId="21" type="noConversion"/>
  </si>
  <si>
    <t>매각가율</t>
    <phoneticPr fontId="21" type="noConversion"/>
  </si>
  <si>
    <t>처분비용</t>
    <phoneticPr fontId="21" type="noConversion"/>
  </si>
  <si>
    <t>기간</t>
    <phoneticPr fontId="21" type="noConversion"/>
  </si>
  <si>
    <t>EIR</t>
    <phoneticPr fontId="21" type="noConversion"/>
  </si>
  <si>
    <t>최종 충당금</t>
    <phoneticPr fontId="21" type="noConversion"/>
  </si>
  <si>
    <t>L201000101002</t>
    <phoneticPr fontId="15" type="noConversion"/>
  </si>
  <si>
    <r>
      <t>&gt;&gt;</t>
    </r>
    <r>
      <rPr>
        <sz val="10"/>
        <rFont val="돋움"/>
        <family val="3"/>
        <charset val="129"/>
      </rPr>
      <t>정상화대출</t>
    </r>
    <r>
      <rPr>
        <sz val="10"/>
        <rFont val="Arial"/>
        <family val="2"/>
      </rPr>
      <t>(</t>
    </r>
    <r>
      <rPr>
        <sz val="10"/>
        <rFont val="돋움"/>
        <family val="3"/>
        <charset val="129"/>
      </rPr>
      <t>최선순위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대출</t>
    </r>
    <r>
      <rPr>
        <sz val="10"/>
        <rFont val="Arial"/>
        <family val="2"/>
      </rPr>
      <t>)</t>
    </r>
    <phoneticPr fontId="15" type="noConversion"/>
  </si>
  <si>
    <t>요주의</t>
    <phoneticPr fontId="15" type="noConversion"/>
  </si>
  <si>
    <r>
      <t>*</t>
    </r>
    <r>
      <rPr>
        <sz val="10"/>
        <rFont val="돋움"/>
        <family val="3"/>
        <charset val="129"/>
      </rPr>
      <t>사용승인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완료</t>
    </r>
    <r>
      <rPr>
        <sz val="10"/>
        <rFont val="Arial"/>
        <family val="2"/>
      </rPr>
      <t xml:space="preserve"> : 2024.05.31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</si>
  <si>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3. 처분비용</t>
    </r>
    <r>
      <rPr>
        <sz val="11"/>
        <color theme="1"/>
        <rFont val="맑은 고딕"/>
        <family val="3"/>
        <charset val="129"/>
        <scheme val="minor"/>
      </rPr>
      <t xml:space="preserve"> : 준공 후 환가처분 가정</t>
    </r>
    <phoneticPr fontId="15" type="noConversion"/>
  </si>
  <si>
    <t xml:space="preserve">    cf. 당사 약정금액 : 700억원 / 상환금액 : 58,293억원</t>
    <phoneticPr fontId="15" type="noConversion"/>
  </si>
  <si>
    <r>
      <t xml:space="preserve">    </t>
    </r>
    <r>
      <rPr>
        <b/>
        <u/>
        <sz val="10"/>
        <rFont val="돋움"/>
        <family val="3"/>
        <charset val="129"/>
      </rPr>
      <t>매입확약</t>
    </r>
    <r>
      <rPr>
        <b/>
        <u/>
        <sz val="10"/>
        <rFont val="Arial"/>
        <family val="2"/>
      </rPr>
      <t xml:space="preserve"> </t>
    </r>
    <r>
      <rPr>
        <b/>
        <u/>
        <sz val="10"/>
        <rFont val="돋움"/>
        <family val="3"/>
        <charset val="129"/>
      </rPr>
      <t>및</t>
    </r>
    <r>
      <rPr>
        <b/>
        <u/>
        <sz val="10"/>
        <rFont val="Arial"/>
        <family val="2"/>
      </rPr>
      <t xml:space="preserve"> </t>
    </r>
    <r>
      <rPr>
        <b/>
        <u/>
        <sz val="10"/>
        <rFont val="돋움"/>
        <family val="3"/>
        <charset val="129"/>
      </rPr>
      <t>자금보충약정서</t>
    </r>
    <r>
      <rPr>
        <b/>
        <u/>
        <sz val="10"/>
        <rFont val="Arial"/>
        <family val="2"/>
      </rPr>
      <t xml:space="preserve"> </t>
    </r>
    <r>
      <rPr>
        <b/>
        <u/>
        <sz val="10"/>
        <rFont val="돋움"/>
        <family val="3"/>
        <charset val="129"/>
      </rPr>
      <t>제</t>
    </r>
    <r>
      <rPr>
        <b/>
        <u/>
        <sz val="10"/>
        <rFont val="Arial"/>
        <family val="2"/>
      </rPr>
      <t>2</t>
    </r>
    <r>
      <rPr>
        <b/>
        <u/>
        <sz val="10"/>
        <rFont val="돋움"/>
        <family val="3"/>
        <charset val="129"/>
      </rPr>
      <t>조</t>
    </r>
    <r>
      <rPr>
        <sz val="10"/>
        <rFont val="Arial"/>
        <family val="2"/>
      </rPr>
      <t>(</t>
    </r>
    <r>
      <rPr>
        <sz val="10"/>
        <rFont val="돋움"/>
        <family val="3"/>
        <charset val="129"/>
      </rPr>
      <t>주거용지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공동주택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매입확약</t>
    </r>
    <r>
      <rPr>
        <sz val="10"/>
        <rFont val="Arial"/>
        <family val="2"/>
      </rPr>
      <t>)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</si>
  <si>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2. 매각가율</t>
    </r>
    <r>
      <rPr>
        <sz val="11"/>
        <color theme="1"/>
        <rFont val="맑은 고딕"/>
        <family val="3"/>
        <charset val="129"/>
        <scheme val="minor"/>
      </rPr>
      <t xml:space="preserve"> : min(①, ②, ③)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</si>
  <si>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4. 기간</t>
    </r>
    <r>
      <rPr>
        <sz val="11"/>
        <color theme="1"/>
        <rFont val="맑은 고딕"/>
        <family val="3"/>
        <charset val="129"/>
        <scheme val="minor"/>
      </rPr>
      <t xml:space="preserve"> : 김해시 대동면 지역에 최근 1년간 공장용지 거래가 없음에 따라, 잔여만기(9개월)보다 긴 1년 반영</t>
    </r>
    <phoneticPr fontId="15" type="noConversion"/>
  </si>
  <si>
    <r>
      <t>&gt;&gt;</t>
    </r>
    <r>
      <rPr>
        <sz val="10"/>
        <rFont val="돋움"/>
        <family val="3"/>
        <charset val="129"/>
      </rPr>
      <t>임대로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돌려서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현재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예상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분양가격</t>
    </r>
    <r>
      <rPr>
        <sz val="10"/>
        <rFont val="Arial"/>
        <family val="2"/>
      </rPr>
      <t>: 621</t>
    </r>
    <r>
      <rPr>
        <sz val="10"/>
        <rFont val="돋움"/>
        <family val="3"/>
        <charset val="129"/>
      </rPr>
      <t>억원</t>
    </r>
    <phoneticPr fontId="15" type="noConversion"/>
  </si>
  <si>
    <t>대출잔액</t>
    <phoneticPr fontId="21" type="noConversion"/>
  </si>
  <si>
    <t>처분비용</t>
    <phoneticPr fontId="21" type="noConversion"/>
  </si>
  <si>
    <r>
      <t xml:space="preserve">- </t>
    </r>
    <r>
      <rPr>
        <b/>
        <sz val="10"/>
        <color theme="1"/>
        <rFont val="맑은 고딕"/>
        <family val="3"/>
        <charset val="129"/>
        <scheme val="minor"/>
      </rPr>
      <t>시장가격</t>
    </r>
    <r>
      <rPr>
        <sz val="10"/>
        <color theme="1"/>
        <rFont val="맑은 고딕"/>
        <family val="3"/>
        <charset val="129"/>
        <scheme val="minor"/>
      </rPr>
      <t xml:space="preserve"> : 실시협약 제 18조 2항에 따라
                </t>
    </r>
    <r>
      <rPr>
        <b/>
        <u/>
        <sz val="10"/>
        <color theme="1"/>
        <rFont val="맑은 고딕"/>
        <family val="3"/>
        <charset val="129"/>
        <scheme val="minor"/>
      </rPr>
      <t>주무관청</t>
    </r>
    <r>
      <rPr>
        <sz val="10"/>
        <color theme="1"/>
        <rFont val="맑은 고딕"/>
        <family val="3"/>
        <charset val="129"/>
        <scheme val="minor"/>
      </rPr>
      <t xml:space="preserve">에서 </t>
    </r>
    <r>
      <rPr>
        <b/>
        <u/>
        <sz val="10"/>
        <color theme="1"/>
        <rFont val="맑은 고딕"/>
        <family val="3"/>
        <charset val="129"/>
        <scheme val="minor"/>
      </rPr>
      <t>원금 보상</t>
    </r>
    <r>
      <rPr>
        <sz val="10"/>
        <color theme="1"/>
        <rFont val="맑은 고딕"/>
        <family val="3"/>
        <charset val="129"/>
        <scheme val="minor"/>
      </rPr>
      <t xml:space="preserve">하는 것으로 가정
- </t>
    </r>
    <r>
      <rPr>
        <b/>
        <sz val="10"/>
        <color theme="1"/>
        <rFont val="맑은 고딕"/>
        <family val="3"/>
        <charset val="129"/>
        <scheme val="minor"/>
      </rPr>
      <t>처분비용</t>
    </r>
    <r>
      <rPr>
        <sz val="10"/>
        <color theme="1"/>
        <rFont val="맑은 고딕"/>
        <family val="3"/>
        <charset val="129"/>
        <scheme val="minor"/>
      </rPr>
      <t xml:space="preserve"> : </t>
    </r>
    <r>
      <rPr>
        <b/>
        <sz val="10"/>
        <color theme="1"/>
        <rFont val="맑은 고딕"/>
        <family val="3"/>
        <charset val="129"/>
        <scheme val="minor"/>
      </rPr>
      <t>손해배상 소송 관련 예상 비용</t>
    </r>
    <r>
      <rPr>
        <sz val="10"/>
        <color theme="1"/>
        <rFont val="맑은 고딕"/>
        <family val="3"/>
        <charset val="129"/>
        <scheme val="minor"/>
      </rPr>
      <t xml:space="preserve">
                (보수적으로 2심까지 진행한다고 가정)
*용인 경전철, 의정부 경전철, 경남 마산로봇랜드, 부산대학교 효원문화회관 건립 등 총 4건
- </t>
    </r>
    <r>
      <rPr>
        <b/>
        <sz val="10"/>
        <color theme="1"/>
        <rFont val="맑은 고딕"/>
        <family val="3"/>
        <charset val="129"/>
        <scheme val="minor"/>
      </rPr>
      <t>기간</t>
    </r>
    <r>
      <rPr>
        <sz val="10"/>
        <color theme="1"/>
        <rFont val="맑은 고딕"/>
        <family val="3"/>
        <charset val="129"/>
        <scheme val="minor"/>
      </rPr>
      <t xml:space="preserve"> : 아래 중 보수적으로 긴 기간 적용
          1. 법무법인 광장 측 예상 소요기간(약 2년 이상)
          2. 민간투자사업 해지 사례 中 주무관청 귀책사유로 인한 소송 기간
             (약 3년)
</t>
    </r>
    <r>
      <rPr>
        <b/>
        <u/>
        <sz val="10"/>
        <color theme="1"/>
        <rFont val="맑은 고딕"/>
        <family val="3"/>
        <charset val="129"/>
        <scheme val="minor"/>
      </rPr>
      <t xml:space="preserve">
처분비용 및 기간은 향후 진행상황에 따라 매분기 업데이트 예정</t>
    </r>
    <phoneticPr fontId="15" type="noConversion"/>
  </si>
  <si>
    <r>
      <t xml:space="preserve">- </t>
    </r>
    <r>
      <rPr>
        <sz val="10"/>
        <rFont val="돋움"/>
        <family val="3"/>
        <charset val="129"/>
      </rPr>
      <t>준공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승인나지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않은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 xml:space="preserve">상황에서
</t>
    </r>
    <r>
      <rPr>
        <sz val="10"/>
        <rFont val="Arial"/>
        <family val="2"/>
      </rPr>
      <t xml:space="preserve">  2011.01 </t>
    </r>
    <r>
      <rPr>
        <sz val="10"/>
        <rFont val="돋움"/>
        <family val="3"/>
        <charset val="129"/>
      </rPr>
      <t>사업시행자와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주무관청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서로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 xml:space="preserve">사업해지통보
</t>
    </r>
    <r>
      <rPr>
        <sz val="10"/>
        <rFont val="Arial"/>
        <family val="2"/>
      </rPr>
      <t xml:space="preserve">- </t>
    </r>
    <r>
      <rPr>
        <sz val="10"/>
        <rFont val="돋움"/>
        <family val="3"/>
        <charset val="129"/>
      </rPr>
      <t>국제중재에서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주무관청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귀책사유로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결론</t>
    </r>
    <r>
      <rPr>
        <sz val="10"/>
        <rFont val="Arial"/>
        <family val="2"/>
      </rPr>
      <t>(1.5</t>
    </r>
    <r>
      <rPr>
        <sz val="10"/>
        <rFont val="돋움"/>
        <family val="3"/>
        <charset val="129"/>
      </rPr>
      <t>년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소요</t>
    </r>
    <r>
      <rPr>
        <sz val="10"/>
        <rFont val="Arial"/>
        <family val="2"/>
      </rPr>
      <t>)</t>
    </r>
    <phoneticPr fontId="15" type="noConversion"/>
  </si>
  <si>
    <t>2026-11-24</t>
    <phoneticPr fontId="15" type="noConversion"/>
  </si>
  <si>
    <t>(단위:백만원)</t>
    <phoneticPr fontId="18" type="noConversion"/>
  </si>
  <si>
    <t>트렌치ID</t>
    <phoneticPr fontId="18" type="noConversion"/>
  </si>
  <si>
    <t>개별평가충당금</t>
    <phoneticPr fontId="18" type="noConversion"/>
  </si>
  <si>
    <t>회수예상가액</t>
    <phoneticPr fontId="15" type="noConversion"/>
  </si>
  <si>
    <t>담보의현재가치</t>
    <phoneticPr fontId="21" type="noConversion"/>
  </si>
  <si>
    <t>EIR</t>
    <phoneticPr fontId="21" type="noConversion"/>
  </si>
  <si>
    <t>비고</t>
    <phoneticPr fontId="21" type="noConversion"/>
  </si>
  <si>
    <t>요주의</t>
    <phoneticPr fontId="18" type="noConversion"/>
  </si>
  <si>
    <r>
      <rPr>
        <sz val="10"/>
        <rFont val="돋움"/>
        <family val="3"/>
        <charset val="129"/>
      </rPr>
      <t>대지면적</t>
    </r>
    <r>
      <rPr>
        <sz val="10"/>
        <rFont val="Arial"/>
        <family val="2"/>
      </rPr>
      <t xml:space="preserve"> : 30,078 m2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</si>
  <si>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1. 시장가격(시세)</t>
    </r>
    <r>
      <rPr>
        <sz val="11"/>
        <color theme="1"/>
        <rFont val="맑은 고딕"/>
        <family val="3"/>
        <charset val="129"/>
        <scheme val="minor"/>
      </rPr>
      <t xml:space="preserve"> : 미착공 사업장으로, 감정평가금액 없으므로 토지 취득원가 적용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</si>
  <si>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3. 처분비용</t>
    </r>
    <r>
      <rPr>
        <sz val="11"/>
        <color theme="1"/>
        <rFont val="맑은 고딕"/>
        <family val="3"/>
        <charset val="129"/>
        <scheme val="minor"/>
      </rPr>
      <t xml:space="preserve"> : 준공 후 환가처분 가정하였으며, 본 건은 10억원 이상의 규모이므로 할부불처분시 처분보수 반영</t>
    </r>
    <phoneticPr fontId="15" type="noConversion"/>
  </si>
  <si>
    <t>① 최근 3개월 소재지 매각가율 : 88.2%</t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</si>
  <si>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4. 기간</t>
    </r>
    <r>
      <rPr>
        <sz val="11"/>
        <color theme="1"/>
        <rFont val="맑은 고딕"/>
        <family val="3"/>
        <charset val="129"/>
        <scheme val="minor"/>
      </rPr>
      <t xml:space="preserve"> : 대출만기 이후 토지 공매 가정하였으므로, 만기(1년 5개월) 및 예상 공매기간(11개월) 고려하여 추정</t>
    </r>
    <phoneticPr fontId="15" type="noConversion"/>
  </si>
  <si>
    <t>2026-04-11</t>
    <phoneticPr fontId="15" type="noConversion"/>
  </si>
  <si>
    <t>cf) 예상 공매기간 : 최근 1년간 대전 중구 문화동 지역 대지 낙찰 Case 中 접수일부터 낙찰허가일 까지 경과기간이 가장 긴 11개월 반영</t>
    <phoneticPr fontId="15" type="noConversion"/>
  </si>
  <si>
    <t xml:space="preserve">   (출처: 인포케어옥션)</t>
    <phoneticPr fontId="15" type="noConversion"/>
  </si>
  <si>
    <t>위치</t>
    <phoneticPr fontId="15" type="noConversion"/>
  </si>
  <si>
    <r>
      <t>대지면적(m</t>
    </r>
    <r>
      <rPr>
        <vertAlign val="superscript"/>
        <sz val="11"/>
        <color theme="1"/>
        <rFont val="맑은 고딕"/>
        <family val="3"/>
        <charset val="129"/>
        <scheme val="minor"/>
      </rPr>
      <t>2</t>
    </r>
    <r>
      <rPr>
        <sz val="11"/>
        <color theme="1"/>
        <rFont val="맑은 고딕"/>
        <family val="3"/>
        <charset val="129"/>
        <scheme val="minor"/>
      </rPr>
      <t>)</t>
    </r>
    <phoneticPr fontId="15" type="noConversion"/>
  </si>
  <si>
    <t>매각가율(%)</t>
    <phoneticPr fontId="15" type="noConversion"/>
  </si>
  <si>
    <t>낙찰허가일</t>
    <phoneticPr fontId="15" type="noConversion"/>
  </si>
  <si>
    <t>배당일</t>
    <phoneticPr fontId="15" type="noConversion"/>
  </si>
  <si>
    <t>기타</t>
    <phoneticPr fontId="15" type="noConversion"/>
  </si>
  <si>
    <t>대흥동</t>
    <phoneticPr fontId="15" type="noConversion"/>
  </si>
  <si>
    <t>6개월</t>
    <phoneticPr fontId="15" type="noConversion"/>
  </si>
  <si>
    <t>사정동</t>
    <phoneticPr fontId="15" type="noConversion"/>
  </si>
  <si>
    <t>11개월</t>
    <phoneticPr fontId="15" type="noConversion"/>
  </si>
  <si>
    <t>제2종일반주거지역</t>
    <phoneticPr fontId="15" type="noConversion"/>
  </si>
  <si>
    <t>4개월</t>
    <phoneticPr fontId="15" type="noConversion"/>
  </si>
  <si>
    <t>자연녹지지역</t>
    <phoneticPr fontId="15" type="noConversion"/>
  </si>
  <si>
    <t>은행동</t>
    <phoneticPr fontId="15" type="noConversion"/>
  </si>
  <si>
    <t>일반상업지역</t>
    <phoneticPr fontId="15" type="noConversion"/>
  </si>
  <si>
    <t xml:space="preserve">    (출처: 인포케어 옥션)</t>
    <phoneticPr fontId="15" type="noConversion"/>
  </si>
  <si>
    <t>추가 적립 충당금</t>
    <phoneticPr fontId="21" type="noConversion"/>
  </si>
  <si>
    <t>(단위:백만원)</t>
    <phoneticPr fontId="18" type="noConversion"/>
  </si>
  <si>
    <r>
      <rPr>
        <sz val="11"/>
        <rFont val="돋움"/>
        <family val="3"/>
        <charset val="129"/>
      </rPr>
      <t>금감원</t>
    </r>
    <r>
      <rPr>
        <sz val="11"/>
        <rFont val="Arial"/>
        <family val="2"/>
      </rPr>
      <t xml:space="preserve"> </t>
    </r>
    <r>
      <rPr>
        <sz val="11"/>
        <rFont val="돋움"/>
        <family val="3"/>
        <charset val="129"/>
      </rPr>
      <t>요구사항</t>
    </r>
    <phoneticPr fontId="15" type="noConversion"/>
  </si>
  <si>
    <t>&gt;&gt;&gt;</t>
    <phoneticPr fontId="15" type="noConversion"/>
  </si>
  <si>
    <t>트렌치ID</t>
    <phoneticPr fontId="18" type="noConversion"/>
  </si>
  <si>
    <t>약정명</t>
    <phoneticPr fontId="21" type="noConversion"/>
  </si>
  <si>
    <t>회수예상가액</t>
    <phoneticPr fontId="15" type="noConversion"/>
  </si>
  <si>
    <t>담보의현재가치</t>
    <phoneticPr fontId="21" type="noConversion"/>
  </si>
  <si>
    <t>시장가격(시세)</t>
    <phoneticPr fontId="21" type="noConversion"/>
  </si>
  <si>
    <t>당사지분</t>
    <phoneticPr fontId="21" type="noConversion"/>
  </si>
  <si>
    <t>선순위채권</t>
    <phoneticPr fontId="21" type="noConversion"/>
  </si>
  <si>
    <t>매각가율</t>
    <phoneticPr fontId="21" type="noConversion"/>
  </si>
  <si>
    <t>기간</t>
    <phoneticPr fontId="21" type="noConversion"/>
  </si>
  <si>
    <t>비고</t>
    <phoneticPr fontId="21" type="noConversion"/>
  </si>
  <si>
    <t>최종 충당금</t>
    <phoneticPr fontId="21" type="noConversion"/>
  </si>
  <si>
    <t>L220100101001</t>
    <phoneticPr fontId="15" type="noConversion"/>
  </si>
  <si>
    <t>울산 신정동 주상복합 PF</t>
    <phoneticPr fontId="18" type="noConversion"/>
  </si>
  <si>
    <t>기준일</t>
    <phoneticPr fontId="15" type="noConversion"/>
  </si>
  <si>
    <t>예상 공매기간</t>
    <phoneticPr fontId="15" type="noConversion"/>
  </si>
  <si>
    <t>cf) 예상 공매기간 : 최근 1년간 울산 남구 신정동 지역 대지 낙찰 Case 中 접수일부터 낙찰허가일 까지 경과기간이 가장 긴 18개월 반영</t>
    <phoneticPr fontId="15" type="noConversion"/>
  </si>
  <si>
    <t>위치</t>
    <phoneticPr fontId="15" type="noConversion"/>
  </si>
  <si>
    <r>
      <t>대지면적(m</t>
    </r>
    <r>
      <rPr>
        <vertAlign val="superscript"/>
        <sz val="11"/>
        <color theme="1"/>
        <rFont val="맑은 고딕"/>
        <family val="3"/>
        <charset val="129"/>
        <scheme val="minor"/>
      </rPr>
      <t>2</t>
    </r>
    <r>
      <rPr>
        <sz val="11"/>
        <color theme="1"/>
        <rFont val="맑은 고딕"/>
        <family val="3"/>
        <charset val="129"/>
        <scheme val="minor"/>
      </rPr>
      <t>)</t>
    </r>
    <phoneticPr fontId="15" type="noConversion"/>
  </si>
  <si>
    <t>접수일</t>
    <phoneticPr fontId="15" type="noConversion"/>
  </si>
  <si>
    <t>낙찰허가일</t>
    <phoneticPr fontId="15" type="noConversion"/>
  </si>
  <si>
    <t>신정동</t>
    <phoneticPr fontId="15" type="noConversion"/>
  </si>
  <si>
    <t>신정동</t>
    <phoneticPr fontId="15" type="noConversion"/>
  </si>
  <si>
    <t>신정동</t>
    <phoneticPr fontId="15" type="noConversion"/>
  </si>
  <si>
    <t xml:space="preserve">① 최근 3개월 소재지 매각가율 : </t>
    <phoneticPr fontId="15" type="noConversion"/>
  </si>
  <si>
    <t>② 최근 3개월 소재지 법원 기타 부동산 매각가율 :</t>
    <phoneticPr fontId="15" type="noConversion"/>
  </si>
  <si>
    <t xml:space="preserve">    (출처: 대한민국법원 법원경매정보)</t>
    <phoneticPr fontId="15" type="noConversion"/>
  </si>
  <si>
    <t>(단위:백만원)</t>
    <phoneticPr fontId="18" type="noConversion"/>
  </si>
  <si>
    <t>&gt;&gt;&gt;</t>
    <phoneticPr fontId="15" type="noConversion"/>
  </si>
  <si>
    <t>대출잔액</t>
    <phoneticPr fontId="21" type="noConversion"/>
  </si>
  <si>
    <t>개별평가충당금</t>
    <phoneticPr fontId="18" type="noConversion"/>
  </si>
  <si>
    <t>회수예상가액</t>
    <phoneticPr fontId="15" type="noConversion"/>
  </si>
  <si>
    <t>당사지분</t>
    <phoneticPr fontId="21" type="noConversion"/>
  </si>
  <si>
    <t>매각가율</t>
    <phoneticPr fontId="21" type="noConversion"/>
  </si>
  <si>
    <t>EIR</t>
    <phoneticPr fontId="21" type="noConversion"/>
  </si>
  <si>
    <t>비고</t>
    <phoneticPr fontId="21" type="noConversion"/>
  </si>
  <si>
    <t>최종 충당금</t>
    <phoneticPr fontId="21" type="noConversion"/>
  </si>
  <si>
    <t>고정</t>
    <phoneticPr fontId="18" type="noConversion"/>
  </si>
  <si>
    <t>추정손실</t>
    <phoneticPr fontId="18" type="noConversion"/>
  </si>
  <si>
    <t>김포 피엔에이치로지스 물류센터</t>
    <phoneticPr fontId="18" type="noConversion"/>
  </si>
  <si>
    <t>1. 경매가율 기준 추정</t>
    <phoneticPr fontId="15" type="noConversion"/>
  </si>
  <si>
    <t>핸디캡 : ①전층접안 불가, ②All 저온, ③입지(강화도)</t>
    <phoneticPr fontId="18" type="noConversion"/>
  </si>
  <si>
    <t xml:space="preserve">본건 감정평가액 1,100억원('23.01.기준) </t>
    <phoneticPr fontId="15" type="noConversion"/>
  </si>
  <si>
    <t>김포 물류센터 낙찰 사례 없음</t>
    <phoneticPr fontId="15" type="noConversion"/>
  </si>
  <si>
    <t>토지면적</t>
    <phoneticPr fontId="18" type="noConversion"/>
  </si>
  <si>
    <t>평</t>
    <phoneticPr fontId="18" type="noConversion"/>
  </si>
  <si>
    <t>연면적</t>
    <phoneticPr fontId="18" type="noConversion"/>
  </si>
  <si>
    <t>유의미한 결과 도출 어려움</t>
    <phoneticPr fontId="15" type="noConversion"/>
  </si>
  <si>
    <t>임대면적</t>
    <phoneticPr fontId="18" type="noConversion"/>
  </si>
  <si>
    <t>층고</t>
    <phoneticPr fontId="18" type="noConversion"/>
  </si>
  <si>
    <t>8M</t>
    <phoneticPr fontId="18" type="noConversion"/>
  </si>
  <si>
    <t>(감평서)</t>
    <phoneticPr fontId="18" type="noConversion"/>
  </si>
  <si>
    <t>접안</t>
    <phoneticPr fontId="18" type="noConversion"/>
  </si>
  <si>
    <t>지2층, 지상1층</t>
    <phoneticPr fontId="18" type="noConversion"/>
  </si>
  <si>
    <t>2. 감정평가 기준</t>
    <phoneticPr fontId="15" type="noConversion"/>
  </si>
  <si>
    <t>2023.01 기준 감정평가금액 1,100억원</t>
    <phoneticPr fontId="15" type="noConversion"/>
  </si>
  <si>
    <t>PF대출</t>
    <phoneticPr fontId="18" type="noConversion"/>
  </si>
  <si>
    <t>금액(억)</t>
    <phoneticPr fontId="18" type="noConversion"/>
  </si>
  <si>
    <t>평당가(원/평)</t>
    <phoneticPr fontId="18" type="noConversion"/>
  </si>
  <si>
    <t>가치측정 방식으로 수익환원법 사용시 NOI 54.8억원 수준이나, 실제로는 1년 넘게 임대가 안되어 NOI 가 0 임</t>
    <phoneticPr fontId="15" type="noConversion"/>
  </si>
  <si>
    <t>선순위</t>
    <phoneticPr fontId="18" type="noConversion"/>
  </si>
  <si>
    <t>중순위</t>
    <phoneticPr fontId="18" type="noConversion"/>
  </si>
  <si>
    <t>유의미한 결과 도출 어려움</t>
    <phoneticPr fontId="15" type="noConversion"/>
  </si>
  <si>
    <t>후순위</t>
    <phoneticPr fontId="18" type="noConversion"/>
  </si>
  <si>
    <t>원가법</t>
    <phoneticPr fontId="18" type="noConversion"/>
  </si>
  <si>
    <t>3. Cap. Rate 통한 매각가치 추정</t>
    <phoneticPr fontId="15" type="noConversion"/>
  </si>
  <si>
    <t>토지</t>
    <phoneticPr fontId="18" type="noConversion"/>
  </si>
  <si>
    <t>건물</t>
    <phoneticPr fontId="18" type="noConversion"/>
  </si>
  <si>
    <t>운영수입 가정</t>
    <phoneticPr fontId="18" type="noConversion"/>
  </si>
  <si>
    <t>운영비용 가정(로지스허브인천 준용)</t>
    <phoneticPr fontId="18" type="noConversion"/>
  </si>
  <si>
    <t>매각가치 추정</t>
    <phoneticPr fontId="15" type="noConversion"/>
  </si>
  <si>
    <t>항목</t>
    <phoneticPr fontId="15" type="noConversion"/>
  </si>
  <si>
    <t>항목</t>
    <phoneticPr fontId="15" type="noConversion"/>
  </si>
  <si>
    <t>금액/비율</t>
    <phoneticPr fontId="15" type="noConversion"/>
  </si>
  <si>
    <t>단위</t>
    <phoneticPr fontId="15" type="noConversion"/>
  </si>
  <si>
    <t>원/평</t>
    <phoneticPr fontId="18" type="noConversion"/>
  </si>
  <si>
    <t>억원</t>
    <phoneticPr fontId="18" type="noConversion"/>
  </si>
  <si>
    <t>비고</t>
  </si>
  <si>
    <t>월 임대료</t>
    <phoneticPr fontId="18" type="noConversion"/>
  </si>
  <si>
    <t>원/평</t>
    <phoneticPr fontId="18" type="noConversion"/>
  </si>
  <si>
    <t>PM수수료</t>
  </si>
  <si>
    <t>월 평당</t>
  </si>
  <si>
    <t>NOI</t>
    <phoneticPr fontId="18" type="noConversion"/>
  </si>
  <si>
    <t>부대설비원가(냉동기 등 매각 가능자산)</t>
    <phoneticPr fontId="18" type="noConversion"/>
  </si>
  <si>
    <t>RF 및 TI</t>
    <phoneticPr fontId="18" type="noConversion"/>
  </si>
  <si>
    <t>개월/년</t>
    <phoneticPr fontId="18" type="noConversion"/>
  </si>
  <si>
    <t>FM수수료</t>
  </si>
  <si>
    <t>Cap.Rate</t>
    <phoneticPr fontId="18" type="noConversion"/>
  </si>
  <si>
    <t>금액</t>
    <phoneticPr fontId="18" type="noConversion"/>
  </si>
  <si>
    <t>억</t>
    <phoneticPr fontId="18" type="noConversion"/>
  </si>
  <si>
    <t>실질 임대료</t>
    <phoneticPr fontId="18" type="noConversion"/>
  </si>
  <si>
    <t>수도광열비</t>
  </si>
  <si>
    <t>처분가액</t>
    <phoneticPr fontId="18" type="noConversion"/>
  </si>
  <si>
    <t>평당가</t>
    <phoneticPr fontId="18" type="noConversion"/>
  </si>
  <si>
    <t>원/㎡</t>
    <phoneticPr fontId="18" type="noConversion"/>
  </si>
  <si>
    <t>관리비</t>
    <phoneticPr fontId="18" type="noConversion"/>
  </si>
  <si>
    <t>수선유지비</t>
  </si>
  <si>
    <t>(50,000 ~ 150,000)</t>
    <phoneticPr fontId="18" type="noConversion"/>
  </si>
  <si>
    <t>공실률</t>
    <phoneticPr fontId="18" type="noConversion"/>
  </si>
  <si>
    <t>기타부동산관리비</t>
  </si>
  <si>
    <t>보험료</t>
  </si>
  <si>
    <t>All 저온</t>
    <phoneticPr fontId="15" type="noConversion"/>
  </si>
  <si>
    <t>월 임대료</t>
    <phoneticPr fontId="18" type="noConversion"/>
  </si>
  <si>
    <t>(+)총수입</t>
    <phoneticPr fontId="18" type="noConversion"/>
  </si>
  <si>
    <t>토지분재산세</t>
  </si>
  <si>
    <t>NOI Margin</t>
    <phoneticPr fontId="18" type="noConversion"/>
  </si>
  <si>
    <t>(-)Rent Free</t>
    <phoneticPr fontId="18" type="noConversion"/>
  </si>
  <si>
    <t>종합부동산세</t>
  </si>
  <si>
    <t>NOI(년)</t>
    <phoneticPr fontId="18" type="noConversion"/>
  </si>
  <si>
    <t>억원</t>
    <phoneticPr fontId="18" type="noConversion"/>
  </si>
  <si>
    <t>(-)공실손실</t>
    <phoneticPr fontId="18" type="noConversion"/>
  </si>
  <si>
    <t>억원</t>
    <phoneticPr fontId="15" type="noConversion"/>
  </si>
  <si>
    <t>건물분재산세</t>
  </si>
  <si>
    <t>로지스허브인천 거래사례('23.11)에서 대출금리가 All-in 7.0% 인 점을</t>
    <phoneticPr fontId="18" type="noConversion"/>
  </si>
  <si>
    <t>Cap Rate</t>
    <phoneticPr fontId="18" type="noConversion"/>
  </si>
  <si>
    <t>운영수입</t>
    <phoneticPr fontId="18" type="noConversion"/>
  </si>
  <si>
    <t>억원</t>
    <phoneticPr fontId="18" type="noConversion"/>
  </si>
  <si>
    <t>감안 시, Cap. Rate가 대출금리 이상 되어야 합리적</t>
    <phoneticPr fontId="15" type="noConversion"/>
  </si>
  <si>
    <t>설비 차감시</t>
    <phoneticPr fontId="18" type="noConversion"/>
  </si>
  <si>
    <t>합계</t>
    <phoneticPr fontId="18" type="noConversion"/>
  </si>
  <si>
    <t>※ 블루워터(로지스허브인천 저온 임대차 사례)</t>
    <phoneticPr fontId="18" type="noConversion"/>
  </si>
  <si>
    <t>cf. 처분비용</t>
    <phoneticPr fontId="15" type="noConversion"/>
  </si>
  <si>
    <t>임대차기간</t>
    <phoneticPr fontId="18" type="noConversion"/>
  </si>
  <si>
    <t>년</t>
    <phoneticPr fontId="18" type="noConversion"/>
  </si>
  <si>
    <t>가지급금: 5,500,000원</t>
    <phoneticPr fontId="15" type="noConversion"/>
  </si>
  <si>
    <t>월 임대료</t>
    <phoneticPr fontId="18" type="noConversion"/>
  </si>
  <si>
    <t>원/평</t>
    <phoneticPr fontId="18" type="noConversion"/>
  </si>
  <si>
    <t>매각공고비: 300,000원</t>
    <phoneticPr fontId="15" type="noConversion"/>
  </si>
  <si>
    <t>월 관리비</t>
    <phoneticPr fontId="18" type="noConversion"/>
  </si>
  <si>
    <t>원/평</t>
    <phoneticPr fontId="18" type="noConversion"/>
  </si>
  <si>
    <t>중개수수료: 매각금액의 0.45%</t>
    <phoneticPr fontId="15" type="noConversion"/>
  </si>
  <si>
    <t>임차지원금(TI)</t>
    <phoneticPr fontId="18" type="noConversion"/>
  </si>
  <si>
    <t>개월</t>
    <phoneticPr fontId="18" type="noConversion"/>
  </si>
  <si>
    <t>개월(연평균)</t>
    <phoneticPr fontId="18" type="noConversion"/>
  </si>
  <si>
    <t>R/F</t>
    <phoneticPr fontId="18" type="noConversion"/>
  </si>
  <si>
    <t>개월</t>
    <phoneticPr fontId="18" type="noConversion"/>
  </si>
  <si>
    <t>개월(연평균)</t>
    <phoneticPr fontId="18" type="noConversion"/>
  </si>
  <si>
    <t>연평균 Favor</t>
    <phoneticPr fontId="18" type="noConversion"/>
  </si>
  <si>
    <t>실질 월 임대료</t>
    <phoneticPr fontId="18" type="noConversion"/>
  </si>
  <si>
    <r>
      <rPr>
        <b/>
        <u/>
        <sz val="11"/>
        <rFont val="맑은 고딕"/>
        <family val="3"/>
        <charset val="129"/>
        <scheme val="minor"/>
      </rPr>
      <t>4. 기간</t>
    </r>
    <r>
      <rPr>
        <sz val="11"/>
        <rFont val="맑은 고딕"/>
        <family val="3"/>
        <charset val="129"/>
        <scheme val="minor"/>
      </rPr>
      <t xml:space="preserve"> : 대출만기일 = 준공예상일, 예상 공사기간 및 공매기간(27개월) 고려하여 추정</t>
    </r>
    <phoneticPr fontId="15" type="noConversion"/>
  </si>
  <si>
    <t xml:space="preserve">cf. 예상 공사기간(대출만기일) : ~ 2025.08.25 / </t>
    <phoneticPr fontId="15" type="noConversion"/>
  </si>
  <si>
    <t>cf. 예상 준공일 : 2028-01-31</t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</si>
  <si>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4. 기간</t>
    </r>
    <r>
      <rPr>
        <sz val="11"/>
        <color theme="1"/>
        <rFont val="맑은 고딕"/>
        <family val="3"/>
        <charset val="129"/>
        <scheme val="minor"/>
      </rPr>
      <t xml:space="preserve"> : 대출만기일(2026-02-12) &lt; 준공예정일(2027-05-31), 예상 잔여공사기간(36개월) 및 공매기간(12개월) 고려하여 추정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</si>
  <si>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4. 기간</t>
    </r>
    <r>
      <rPr>
        <sz val="11"/>
        <color theme="1"/>
        <rFont val="맑은 고딕"/>
        <family val="3"/>
        <charset val="129"/>
        <scheme val="minor"/>
      </rPr>
      <t xml:space="preserve"> : 대출만기일(2026-12-03) &lt; 준공예정일(2028-01-31), 공매기간(12개월) 고려하여 추정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</si>
  <si>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4. 기간</t>
    </r>
    <r>
      <rPr>
        <sz val="11"/>
        <color theme="1"/>
        <rFont val="맑은 고딕"/>
        <family val="3"/>
        <charset val="129"/>
        <scheme val="minor"/>
      </rPr>
      <t xml:space="preserve"> : 대출만기일(2024-11-12) &lt; 준공예정일(2024-11-15), 공매기간보수적으로 1년 추정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</si>
  <si>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4. 기간</t>
    </r>
    <r>
      <rPr>
        <sz val="11"/>
        <color theme="1"/>
        <rFont val="맑은 고딕"/>
        <family val="3"/>
        <charset val="129"/>
        <scheme val="minor"/>
      </rPr>
      <t xml:space="preserve"> : 대출만기일(2025-04-21) &lt; 준공예정일(2025-08-31), 공매기간보수적으로 1년 추정</t>
    </r>
    <phoneticPr fontId="15" type="noConversion"/>
  </si>
  <si>
    <t>준공예정일</t>
    <phoneticPr fontId="15" type="noConversion"/>
  </si>
  <si>
    <t>① 최근 3개월 소재지 매각가율</t>
    <phoneticPr fontId="15" type="noConversion"/>
  </si>
  <si>
    <t>② 최근 3개월 소재지 법원 아파트 매각가율 : 80.4%</t>
    <phoneticPr fontId="15" type="noConversion"/>
  </si>
  <si>
    <t>② 최근 3개월 소재지 법원 오피스텔 매각가율 : 0%</t>
    <phoneticPr fontId="15" type="noConversion"/>
  </si>
  <si>
    <t>① 최근 3개월 소재지 매각가율 : 59.1%</t>
    <phoneticPr fontId="15" type="noConversion"/>
  </si>
  <si>
    <t xml:space="preserve">① 최근 3개월 소재지 매각가율 </t>
    <phoneticPr fontId="15" type="noConversion"/>
  </si>
  <si>
    <t>② 최근 3개월 소재지 법원 오피스텔, 근린생활 가중평균 매각가율 : 66.5%</t>
    <phoneticPr fontId="15" type="noConversion"/>
  </si>
  <si>
    <t>약정액</t>
    <phoneticPr fontId="15" type="noConversion"/>
  </si>
  <si>
    <t>약정액</t>
    <phoneticPr fontId="15" type="noConversion"/>
  </si>
  <si>
    <t>약정액</t>
    <phoneticPr fontId="15" type="noConversion"/>
  </si>
  <si>
    <t>요주의</t>
    <phoneticPr fontId="15" type="noConversion"/>
  </si>
  <si>
    <t>(단위:백만원)</t>
    <phoneticPr fontId="18" type="noConversion"/>
  </si>
  <si>
    <r>
      <rPr>
        <sz val="11"/>
        <rFont val="돋움"/>
        <family val="3"/>
        <charset val="129"/>
      </rPr>
      <t>금감원</t>
    </r>
    <r>
      <rPr>
        <sz val="11"/>
        <rFont val="Arial"/>
        <family val="2"/>
      </rPr>
      <t xml:space="preserve"> </t>
    </r>
    <r>
      <rPr>
        <sz val="11"/>
        <rFont val="돋움"/>
        <family val="3"/>
        <charset val="129"/>
      </rPr>
      <t>요구사항</t>
    </r>
    <phoneticPr fontId="15" type="noConversion"/>
  </si>
  <si>
    <t>&gt;&gt;&gt;</t>
    <phoneticPr fontId="15" type="noConversion"/>
  </si>
  <si>
    <t>트렌치ID</t>
    <phoneticPr fontId="18" type="noConversion"/>
  </si>
  <si>
    <t>약정명</t>
    <phoneticPr fontId="21" type="noConversion"/>
  </si>
  <si>
    <t>대출잔액</t>
    <phoneticPr fontId="21" type="noConversion"/>
  </si>
  <si>
    <t>개별평가충당금</t>
    <phoneticPr fontId="18" type="noConversion"/>
  </si>
  <si>
    <t>회수예상가액</t>
    <phoneticPr fontId="15" type="noConversion"/>
  </si>
  <si>
    <t>담보의현재가치</t>
    <phoneticPr fontId="21" type="noConversion"/>
  </si>
  <si>
    <t>시장가격(시세)</t>
    <phoneticPr fontId="21" type="noConversion"/>
  </si>
  <si>
    <t>당사지분</t>
    <phoneticPr fontId="21" type="noConversion"/>
  </si>
  <si>
    <t>매각가율</t>
    <phoneticPr fontId="21" type="noConversion"/>
  </si>
  <si>
    <t>처분비용</t>
    <phoneticPr fontId="21" type="noConversion"/>
  </si>
  <si>
    <t>기간</t>
    <phoneticPr fontId="21" type="noConversion"/>
  </si>
  <si>
    <t>EIR</t>
    <phoneticPr fontId="21" type="noConversion"/>
  </si>
  <si>
    <t>비고</t>
    <phoneticPr fontId="21" type="noConversion"/>
  </si>
  <si>
    <t>추가 적립 충당금</t>
    <phoneticPr fontId="21" type="noConversion"/>
  </si>
  <si>
    <t>최종 충당금</t>
    <phoneticPr fontId="21" type="noConversion"/>
  </si>
  <si>
    <t>요주의</t>
    <phoneticPr fontId="18" type="noConversion"/>
  </si>
  <si>
    <r>
      <rPr>
        <b/>
        <u/>
        <sz val="11"/>
        <color theme="1"/>
        <rFont val="맑은 고딕"/>
        <family val="3"/>
        <charset val="129"/>
        <scheme val="minor"/>
      </rPr>
      <t>1. 시장가격(시세)</t>
    </r>
    <r>
      <rPr>
        <sz val="11"/>
        <color theme="1"/>
        <rFont val="맑은 고딕"/>
        <family val="3"/>
        <charset val="129"/>
        <scheme val="minor"/>
      </rPr>
      <t xml:space="preserve"> : 최초 투자 심의 당시 호텔 감정평가금액 반영</t>
    </r>
    <phoneticPr fontId="15" type="noConversion"/>
  </si>
  <si>
    <r>
      <rPr>
        <b/>
        <u/>
        <sz val="11"/>
        <rFont val="맑은 고딕"/>
        <family val="3"/>
        <charset val="129"/>
        <scheme val="minor"/>
      </rPr>
      <t>4. 당사지분</t>
    </r>
    <r>
      <rPr>
        <sz val="11"/>
        <rFont val="맑은 고딕"/>
        <family val="3"/>
        <charset val="129"/>
        <scheme val="minor"/>
      </rPr>
      <t xml:space="preserve"> : 준공 후 호텔 담보대출 기준</t>
    </r>
    <phoneticPr fontId="15" type="noConversion"/>
  </si>
  <si>
    <t xml:space="preserve">   ('23.12.28 시공사 워크아웃 신청, '24.01.11 워크아웃 개시에도 불구하고</t>
    <phoneticPr fontId="15" type="noConversion"/>
  </si>
  <si>
    <t>단위: 억원</t>
    <phoneticPr fontId="15" type="noConversion"/>
  </si>
  <si>
    <t xml:space="preserve">    ① 공사 중단되지 않고, 하도급업체에서 공사 진행 중인 점(하도급 직불)</t>
    <phoneticPr fontId="15" type="noConversion"/>
  </si>
  <si>
    <t>트렌치</t>
    <phoneticPr fontId="15" type="noConversion"/>
  </si>
  <si>
    <t>약정금액</t>
    <phoneticPr fontId="15" type="noConversion"/>
  </si>
  <si>
    <t>상환금액(한도차감)</t>
    <phoneticPr fontId="15" type="noConversion"/>
  </si>
  <si>
    <t>잔액</t>
    <phoneticPr fontId="15" type="noConversion"/>
  </si>
  <si>
    <t>당사</t>
    <phoneticPr fontId="15" type="noConversion"/>
  </si>
  <si>
    <t xml:space="preserve">    ② 계획 공정률(24.04 기준 70.3%)과 실제 공정률( 65.9%)이 비슷한 점</t>
    <phoneticPr fontId="15" type="noConversion"/>
  </si>
  <si>
    <t>최선순위</t>
    <phoneticPr fontId="15" type="noConversion"/>
  </si>
  <si>
    <r>
      <t xml:space="preserve">    위 두 사항 고려 시 시공사로 인한 </t>
    </r>
    <r>
      <rPr>
        <b/>
        <u/>
        <sz val="11"/>
        <rFont val="맑은 고딕"/>
        <family val="3"/>
        <charset val="129"/>
        <scheme val="minor"/>
      </rPr>
      <t>준공 risk는 제한적</t>
    </r>
    <r>
      <rPr>
        <sz val="11"/>
        <rFont val="맑은 고딕"/>
        <family val="3"/>
        <charset val="129"/>
        <scheme val="minor"/>
      </rPr>
      <t>이므로 호텔 감평금액 사용)</t>
    </r>
    <phoneticPr fontId="15" type="noConversion"/>
  </si>
  <si>
    <t>합계</t>
    <phoneticPr fontId="15" type="noConversion"/>
  </si>
  <si>
    <t>cf. Tr.A : 생활숙박시설 및 근린생활시설 담보 대출트렌치</t>
    <phoneticPr fontId="15" type="noConversion"/>
  </si>
  <si>
    <t xml:space="preserve">   Tr. B : 호텔시설 담보 대출트렌치</t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</si>
  <si>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5. 처분비용</t>
    </r>
    <r>
      <rPr>
        <sz val="11"/>
        <color theme="1"/>
        <rFont val="맑은 고딕"/>
        <family val="3"/>
        <charset val="129"/>
        <scheme val="minor"/>
      </rPr>
      <t xml:space="preserve"> : 준공 후 환가처분 가정하였으며, 본 건은 500억원 이상~1,000억원 미만의 규모이므로 3% 보수율 반영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</si>
  <si>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2. 선순위채권</t>
    </r>
    <r>
      <rPr>
        <sz val="11"/>
        <color theme="1"/>
        <rFont val="맑은 고딕"/>
        <family val="3"/>
        <charset val="129"/>
        <scheme val="minor"/>
      </rPr>
      <t xml:space="preserve"> : 사업정상화 목적 특별약정 체결하면서 최선순위 트렌치 채권 반영(호텔 담보 360억원)</t>
    </r>
    <phoneticPr fontId="15" type="noConversion"/>
  </si>
  <si>
    <r>
      <t>"</t>
    </r>
    <r>
      <rPr>
        <sz val="10"/>
        <rFont val="돋움"/>
        <family val="3"/>
        <charset val="129"/>
      </rPr>
      <t>대출약정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등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변경계약서</t>
    </r>
    <r>
      <rPr>
        <sz val="10"/>
        <rFont val="Arial"/>
        <family val="2"/>
      </rPr>
      <t xml:space="preserve">" </t>
    </r>
    <r>
      <rPr>
        <sz val="10"/>
        <rFont val="돋움"/>
        <family val="3"/>
        <charset val="129"/>
      </rPr>
      <t>中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제</t>
    </r>
    <r>
      <rPr>
        <sz val="10"/>
        <rFont val="Arial"/>
        <family val="2"/>
      </rPr>
      <t>2</t>
    </r>
    <r>
      <rPr>
        <sz val="10"/>
        <rFont val="돋움"/>
        <family val="3"/>
        <charset val="129"/>
      </rPr>
      <t>조</t>
    </r>
    <r>
      <rPr>
        <sz val="10"/>
        <rFont val="Arial"/>
        <family val="2"/>
      </rPr>
      <t xml:space="preserve"> 2</t>
    </r>
    <r>
      <rPr>
        <sz val="10"/>
        <rFont val="돋움"/>
        <family val="3"/>
        <charset val="129"/>
      </rPr>
      <t>항</t>
    </r>
    <r>
      <rPr>
        <sz val="10"/>
        <rFont val="Arial"/>
        <family val="2"/>
      </rPr>
      <t xml:space="preserve"> 2</t>
    </r>
    <r>
      <rPr>
        <sz val="10"/>
        <rFont val="돋움"/>
        <family val="3"/>
        <charset val="129"/>
      </rPr>
      <t>호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</si>
  <si>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6. 기간</t>
    </r>
    <r>
      <rPr>
        <sz val="11"/>
        <color theme="1"/>
        <rFont val="맑은 고딕"/>
        <family val="3"/>
        <charset val="129"/>
        <scheme val="minor"/>
      </rPr>
      <t xml:space="preserve"> : 최근 1년간 강릉 지역 내 숙박시설 경매 사례 없으므로, 보수적으로 1년 추정</t>
    </r>
    <phoneticPr fontId="15" type="noConversion"/>
  </si>
  <si>
    <t>기준일</t>
    <phoneticPr fontId="15" type="noConversion"/>
  </si>
  <si>
    <t>대출만기일</t>
    <phoneticPr fontId="15" type="noConversion"/>
  </si>
  <si>
    <t>2025-12-29</t>
    <phoneticPr fontId="15" type="noConversion"/>
  </si>
  <si>
    <t>예상 공매기간</t>
    <phoneticPr fontId="15" type="noConversion"/>
  </si>
  <si>
    <t>2026-12-29</t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</si>
  <si>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3. 매각가율</t>
    </r>
    <r>
      <rPr>
        <sz val="11"/>
        <color theme="1"/>
        <rFont val="맑은 고딕"/>
        <family val="3"/>
        <charset val="129"/>
        <scheme val="minor"/>
      </rPr>
      <t xml:space="preserve"> : min(①, ②, ③)</t>
    </r>
    <phoneticPr fontId="15" type="noConversion"/>
  </si>
  <si>
    <t>① 최근 3개월 소재지 매각가율 : 매각사례 없음</t>
    <phoneticPr fontId="15" type="noConversion"/>
  </si>
  <si>
    <t xml:space="preserve">    (출처: 대한민국법원 법원경매정보)</t>
    <phoneticPr fontId="15" type="noConversion"/>
  </si>
  <si>
    <t>② 최근 3개월 소재지 법원 기타 부동산 매각가율 : 50.9%</t>
    <phoneticPr fontId="15" type="noConversion"/>
  </si>
  <si>
    <t>③ 최근 12개월 소재지 숙박시설 매각가율 : 사례 없음</t>
    <phoneticPr fontId="15" type="noConversion"/>
  </si>
  <si>
    <t xml:space="preserve">    (출처: 인포케어 옥션)</t>
    <phoneticPr fontId="15" type="noConversion"/>
  </si>
  <si>
    <t>(단위:백만원)</t>
    <phoneticPr fontId="18" type="noConversion"/>
  </si>
  <si>
    <t>트렌치ID</t>
    <phoneticPr fontId="18" type="noConversion"/>
  </si>
  <si>
    <t>약정명</t>
    <phoneticPr fontId="21" type="noConversion"/>
  </si>
  <si>
    <t>개별평가충당금</t>
    <phoneticPr fontId="18" type="noConversion"/>
  </si>
  <si>
    <t>회수예상가액</t>
    <phoneticPr fontId="15" type="noConversion"/>
  </si>
  <si>
    <t>담보의현재가치</t>
    <phoneticPr fontId="21" type="noConversion"/>
  </si>
  <si>
    <t>시장가격(시세)</t>
    <phoneticPr fontId="21" type="noConversion"/>
  </si>
  <si>
    <t>당사지분</t>
    <phoneticPr fontId="21" type="noConversion"/>
  </si>
  <si>
    <t>선순위채권</t>
    <phoneticPr fontId="21" type="noConversion"/>
  </si>
  <si>
    <t>매각가율</t>
    <phoneticPr fontId="21" type="noConversion"/>
  </si>
  <si>
    <t>처분비용</t>
    <phoneticPr fontId="21" type="noConversion"/>
  </si>
  <si>
    <t>기간</t>
    <phoneticPr fontId="21" type="noConversion"/>
  </si>
  <si>
    <t>EIR</t>
    <phoneticPr fontId="21" type="noConversion"/>
  </si>
  <si>
    <t>비고</t>
    <phoneticPr fontId="21" type="noConversion"/>
  </si>
  <si>
    <r>
      <rPr>
        <b/>
        <u/>
        <sz val="10"/>
        <color rgb="FF0070C0"/>
        <rFont val="돋움"/>
        <family val="3"/>
        <charset val="129"/>
      </rPr>
      <t>실시협약서</t>
    </r>
    <r>
      <rPr>
        <b/>
        <u/>
        <sz val="10"/>
        <color rgb="FF0070C0"/>
        <rFont val="Arial"/>
        <family val="2"/>
      </rPr>
      <t xml:space="preserve"> </t>
    </r>
    <phoneticPr fontId="15" type="noConversion"/>
  </si>
  <si>
    <r>
      <rPr>
        <b/>
        <u/>
        <sz val="10"/>
        <color rgb="FF0070C0"/>
        <rFont val="돋움"/>
        <family val="3"/>
        <charset val="129"/>
      </rPr>
      <t>법무법인</t>
    </r>
    <r>
      <rPr>
        <b/>
        <u/>
        <sz val="10"/>
        <color rgb="FF0070C0"/>
        <rFont val="Arial"/>
        <family val="2"/>
      </rPr>
      <t xml:space="preserve"> </t>
    </r>
    <r>
      <rPr>
        <b/>
        <u/>
        <sz val="10"/>
        <color rgb="FF0070C0"/>
        <rFont val="돋움"/>
        <family val="3"/>
        <charset val="129"/>
      </rPr>
      <t>광장</t>
    </r>
    <r>
      <rPr>
        <b/>
        <u/>
        <sz val="10"/>
        <color rgb="FF0070C0"/>
        <rFont val="Arial"/>
        <family val="2"/>
      </rPr>
      <t xml:space="preserve"> </t>
    </r>
    <r>
      <rPr>
        <b/>
        <u/>
        <sz val="10"/>
        <color rgb="FF0070C0"/>
        <rFont val="돋움"/>
        <family val="3"/>
        <charset val="129"/>
      </rPr>
      <t>메일</t>
    </r>
    <phoneticPr fontId="15" type="noConversion"/>
  </si>
  <si>
    <t>민간투자사업 해지 사례</t>
    <phoneticPr fontId="15" type="noConversion"/>
  </si>
  <si>
    <t>사례</t>
    <phoneticPr fontId="15" type="noConversion"/>
  </si>
  <si>
    <t>실시협약 해지 원인</t>
    <phoneticPr fontId="15" type="noConversion"/>
  </si>
  <si>
    <t>경과</t>
    <phoneticPr fontId="15" type="noConversion"/>
  </si>
  <si>
    <r>
      <rPr>
        <sz val="10"/>
        <rFont val="돋움"/>
        <family val="3"/>
        <charset val="129"/>
      </rPr>
      <t>사업시행자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파산</t>
    </r>
    <phoneticPr fontId="15" type="noConversion"/>
  </si>
  <si>
    <r>
      <t xml:space="preserve">- 2017.08 </t>
    </r>
    <r>
      <rPr>
        <sz val="10"/>
        <rFont val="돋움"/>
        <family val="3"/>
        <charset val="129"/>
      </rPr>
      <t>소송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 xml:space="preserve">제기
</t>
    </r>
    <r>
      <rPr>
        <sz val="10"/>
        <rFont val="Arial"/>
        <family val="2"/>
      </rPr>
      <t>- 2019.10 1</t>
    </r>
    <r>
      <rPr>
        <sz val="10"/>
        <rFont val="돋움"/>
        <family val="3"/>
        <charset val="129"/>
      </rPr>
      <t>심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판결</t>
    </r>
    <r>
      <rPr>
        <sz val="10"/>
        <rFont val="Arial"/>
        <family val="2"/>
      </rPr>
      <t>(</t>
    </r>
    <r>
      <rPr>
        <sz val="10"/>
        <rFont val="돋움"/>
        <family val="3"/>
        <charset val="129"/>
      </rPr>
      <t>원고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일부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승</t>
    </r>
    <r>
      <rPr>
        <sz val="10"/>
        <rFont val="Arial"/>
        <family val="2"/>
      </rPr>
      <t xml:space="preserve">)
- 2021.07 </t>
    </r>
    <r>
      <rPr>
        <sz val="10"/>
        <rFont val="돋움"/>
        <family val="3"/>
        <charset val="129"/>
      </rPr>
      <t>합의로</t>
    </r>
    <r>
      <rPr>
        <sz val="10"/>
        <rFont val="Arial"/>
        <family val="2"/>
      </rPr>
      <t xml:space="preserve"> 1</t>
    </r>
    <r>
      <rPr>
        <sz val="10"/>
        <rFont val="돋움"/>
        <family val="3"/>
        <charset val="129"/>
      </rPr>
      <t>심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승소금액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지급</t>
    </r>
    <phoneticPr fontId="15" type="noConversion"/>
  </si>
  <si>
    <r>
      <rPr>
        <sz val="10"/>
        <rFont val="돋움"/>
        <family val="3"/>
        <charset val="129"/>
      </rPr>
      <t>법원에서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사업시행자의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파산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및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도산해지권의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존부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등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처음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판단하는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법리적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사항으로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인해</t>
    </r>
    <r>
      <rPr>
        <sz val="10"/>
        <rFont val="Arial"/>
        <family val="2"/>
      </rPr>
      <t xml:space="preserve">,
</t>
    </r>
    <r>
      <rPr>
        <sz val="10"/>
        <rFont val="돋움"/>
        <family val="3"/>
        <charset val="129"/>
      </rPr>
      <t>복잡한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쟁점이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존재하여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일반적인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소송에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비해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이례적으로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기간이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긺</t>
    </r>
    <phoneticPr fontId="15" type="noConversion"/>
  </si>
  <si>
    <t>마산로봇랜드</t>
    <phoneticPr fontId="15" type="noConversion"/>
  </si>
  <si>
    <r>
      <rPr>
        <b/>
        <u/>
        <sz val="10"/>
        <rFont val="돋움"/>
        <family val="3"/>
        <charset val="129"/>
      </rPr>
      <t>주무관청</t>
    </r>
    <r>
      <rPr>
        <b/>
        <u/>
        <sz val="10"/>
        <rFont val="Arial"/>
        <family val="2"/>
      </rPr>
      <t xml:space="preserve"> </t>
    </r>
    <r>
      <rPr>
        <b/>
        <u/>
        <sz val="10"/>
        <rFont val="돋움"/>
        <family val="3"/>
        <charset val="129"/>
      </rPr>
      <t>귀책</t>
    </r>
    <r>
      <rPr>
        <sz val="10"/>
        <rFont val="돋움"/>
        <family val="3"/>
        <charset val="129"/>
      </rPr>
      <t xml:space="preserve">
</t>
    </r>
    <r>
      <rPr>
        <sz val="10"/>
        <rFont val="Arial"/>
        <family val="2"/>
      </rPr>
      <t>(</t>
    </r>
    <r>
      <rPr>
        <sz val="10"/>
        <rFont val="돋움"/>
        <family val="3"/>
        <charset val="129"/>
      </rPr>
      <t>부지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미제공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등</t>
    </r>
    <r>
      <rPr>
        <sz val="10"/>
        <rFont val="Arial"/>
        <family val="2"/>
      </rPr>
      <t>)</t>
    </r>
    <phoneticPr fontId="15" type="noConversion"/>
  </si>
  <si>
    <r>
      <t xml:space="preserve">- 2020.02 </t>
    </r>
    <r>
      <rPr>
        <sz val="10"/>
        <rFont val="돋움"/>
        <family val="3"/>
        <charset val="129"/>
      </rPr>
      <t>소송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 xml:space="preserve">제기
</t>
    </r>
    <r>
      <rPr>
        <sz val="10"/>
        <rFont val="Arial"/>
        <family val="2"/>
      </rPr>
      <t>- 2021.10 1</t>
    </r>
    <r>
      <rPr>
        <sz val="10"/>
        <rFont val="돋움"/>
        <family val="3"/>
        <charset val="129"/>
      </rPr>
      <t>심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판결</t>
    </r>
    <r>
      <rPr>
        <sz val="10"/>
        <rFont val="Arial"/>
        <family val="2"/>
      </rPr>
      <t>(</t>
    </r>
    <r>
      <rPr>
        <sz val="10"/>
        <rFont val="돋움"/>
        <family val="3"/>
        <charset val="129"/>
      </rPr>
      <t>원고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승</t>
    </r>
    <r>
      <rPr>
        <sz val="10"/>
        <rFont val="Arial"/>
        <family val="2"/>
      </rPr>
      <t>)
- 2023.01 2</t>
    </r>
    <r>
      <rPr>
        <sz val="10"/>
        <rFont val="돋움"/>
        <family val="3"/>
        <charset val="129"/>
      </rPr>
      <t>심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판결</t>
    </r>
    <r>
      <rPr>
        <sz val="10"/>
        <rFont val="Arial"/>
        <family val="2"/>
      </rPr>
      <t>(</t>
    </r>
    <r>
      <rPr>
        <sz val="10"/>
        <rFont val="돋움"/>
        <family val="3"/>
        <charset val="129"/>
      </rPr>
      <t>원고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승</t>
    </r>
    <r>
      <rPr>
        <sz val="10"/>
        <rFont val="Arial"/>
        <family val="2"/>
      </rPr>
      <t xml:space="preserve">, </t>
    </r>
    <r>
      <rPr>
        <sz val="10"/>
        <rFont val="돋움"/>
        <family val="3"/>
        <charset val="129"/>
      </rPr>
      <t>항소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기각</t>
    </r>
    <r>
      <rPr>
        <sz val="10"/>
        <rFont val="Arial"/>
        <family val="2"/>
      </rPr>
      <t>)</t>
    </r>
    <phoneticPr fontId="15" type="noConversion"/>
  </si>
  <si>
    <r>
      <rPr>
        <sz val="10"/>
        <rFont val="돋움"/>
        <family val="3"/>
        <charset val="129"/>
      </rPr>
      <t>용인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경전철</t>
    </r>
    <phoneticPr fontId="15" type="noConversion"/>
  </si>
  <si>
    <t>기준일</t>
    <phoneticPr fontId="15" type="noConversion"/>
  </si>
  <si>
    <r>
      <rPr>
        <sz val="10"/>
        <rFont val="돋움"/>
        <family val="3"/>
        <charset val="129"/>
      </rPr>
      <t>손해배상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소송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제기일</t>
    </r>
    <phoneticPr fontId="15" type="noConversion"/>
  </si>
  <si>
    <r>
      <rPr>
        <sz val="10"/>
        <rFont val="Arial"/>
        <family val="2"/>
      </rPr>
      <t>2023-11-24</t>
    </r>
    <phoneticPr fontId="15" type="noConversion"/>
  </si>
  <si>
    <r>
      <rPr>
        <sz val="10"/>
        <rFont val="돋움"/>
        <family val="3"/>
        <charset val="129"/>
      </rPr>
      <t>예상</t>
    </r>
    <r>
      <rPr>
        <sz val="10"/>
        <rFont val="Arial"/>
        <family val="2"/>
      </rPr>
      <t xml:space="preserve"> </t>
    </r>
    <r>
      <rPr>
        <sz val="10"/>
        <rFont val="돋움"/>
        <family val="3"/>
        <charset val="129"/>
      </rPr>
      <t>판결일</t>
    </r>
    <phoneticPr fontId="15" type="noConversion"/>
  </si>
  <si>
    <t>(단위:백만원)</t>
    <phoneticPr fontId="18" type="noConversion"/>
  </si>
  <si>
    <t>트렌치ID</t>
    <phoneticPr fontId="18" type="noConversion"/>
  </si>
  <si>
    <t>약정명</t>
    <phoneticPr fontId="21" type="noConversion"/>
  </si>
  <si>
    <t>대출잔액</t>
    <phoneticPr fontId="21" type="noConversion"/>
  </si>
  <si>
    <t>개별평가충당금</t>
    <phoneticPr fontId="18" type="noConversion"/>
  </si>
  <si>
    <t>회수예상가액</t>
    <phoneticPr fontId="15" type="noConversion"/>
  </si>
  <si>
    <t>담보의현재가치</t>
    <phoneticPr fontId="21" type="noConversion"/>
  </si>
  <si>
    <t>시장가격(시세)</t>
    <phoneticPr fontId="21" type="noConversion"/>
  </si>
  <si>
    <t>당사지분</t>
    <phoneticPr fontId="21" type="noConversion"/>
  </si>
  <si>
    <t>선순위채권</t>
    <phoneticPr fontId="21" type="noConversion"/>
  </si>
  <si>
    <t>매각가율</t>
    <phoneticPr fontId="21" type="noConversion"/>
  </si>
  <si>
    <t>처분비용</t>
    <phoneticPr fontId="21" type="noConversion"/>
  </si>
  <si>
    <t>기간</t>
    <phoneticPr fontId="21" type="noConversion"/>
  </si>
  <si>
    <t>EIR</t>
    <phoneticPr fontId="21" type="noConversion"/>
  </si>
  <si>
    <t>비고</t>
    <phoneticPr fontId="21" type="noConversion"/>
  </si>
  <si>
    <t>&gt;&gt;감평금액 X, 공사 진행 중인 건물</t>
    <phoneticPr fontId="15" type="noConversion"/>
  </si>
  <si>
    <t>주2)담보의 현재가치=(시장가격*당시지분-선순위채권-처분비용)*매각가율/(1+EIR)^회수예상기간</t>
    <phoneticPr fontId="18" type="noConversion"/>
  </si>
  <si>
    <t>주3)주택도시공사보증 대출은 담보의 현재가치=보증서 발급금액으로 산출</t>
    <phoneticPr fontId="18" type="noConversion"/>
  </si>
  <si>
    <r>
      <rPr>
        <b/>
        <u/>
        <sz val="11"/>
        <color theme="1"/>
        <rFont val="맑은 고딕"/>
        <family val="3"/>
        <charset val="129"/>
        <scheme val="minor"/>
      </rPr>
      <t>1. 시장가격(시세)</t>
    </r>
    <r>
      <rPr>
        <sz val="11"/>
        <color theme="1"/>
        <rFont val="맑은 고딕"/>
        <family val="3"/>
        <charset val="129"/>
        <scheme val="minor"/>
      </rPr>
      <t xml:space="preserve"> : 151,075,000천원</t>
    </r>
    <phoneticPr fontId="15" type="noConversion"/>
  </si>
  <si>
    <r>
      <rPr>
        <b/>
        <u/>
        <sz val="11"/>
        <color rgb="FFFF0000"/>
        <rFont val="맑은 고딕"/>
        <family val="3"/>
        <charset val="129"/>
        <scheme val="minor"/>
      </rPr>
      <t>3. 처분비용</t>
    </r>
    <r>
      <rPr>
        <sz val="11"/>
        <color rgb="FFFF0000"/>
        <rFont val="맑은 고딕"/>
        <family val="3"/>
        <charset val="129"/>
        <scheme val="minor"/>
      </rPr>
      <t xml:space="preserve"> : 준공 후 환가처분 가정하였으며, 본 건은 10억원 이상의 규모이므로 할부불처분시 처분보수 반영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</si>
  <si>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4. 기간</t>
    </r>
    <r>
      <rPr>
        <sz val="11"/>
        <color theme="1"/>
        <rFont val="맑은 고딕"/>
        <family val="3"/>
        <charset val="129"/>
        <scheme val="minor"/>
      </rPr>
      <t xml:space="preserve"> : 준공 후 공매 환가처분 가정하였으므로, 예상 공사기간(5개월) 및 공매기간(10개월) 고려하여 추정</t>
    </r>
    <phoneticPr fontId="15" type="noConversion"/>
  </si>
  <si>
    <t>- 최초분양 개시일 : 2024.02.05</t>
    <phoneticPr fontId="15" type="noConversion"/>
  </si>
  <si>
    <t xml:space="preserve">cf. 예상 공사기간 : ~ 2024.11.30 / </t>
    <phoneticPr fontId="15" type="noConversion"/>
  </si>
  <si>
    <t xml:space="preserve">cf. '24.08 1차 할인분양 trigger 발생할 예정 </t>
    <phoneticPr fontId="15" type="noConversion"/>
  </si>
  <si>
    <t xml:space="preserve">    예상 공매기간 : 최근 1년간 경기도 파주시 와동동 지역 집합건물 낙찰 Case 中 접수일부터 낙찰허가일 까지 경과기간이 가장 긴 18개월 반영</t>
    <phoneticPr fontId="15" type="noConversion"/>
  </si>
  <si>
    <t xml:space="preserve">    (출처: 인포케어옥션)</t>
    <phoneticPr fontId="15" type="noConversion"/>
  </si>
  <si>
    <t>1-1. 분양가격</t>
    <phoneticPr fontId="15" type="noConversion"/>
  </si>
  <si>
    <t>4-1. 예상 공사기간 관련 자료</t>
    <phoneticPr fontId="15" type="noConversion"/>
  </si>
  <si>
    <t>4-2. 예상 공매기간 관련 자료</t>
    <phoneticPr fontId="15" type="noConversion"/>
  </si>
  <si>
    <t xml:space="preserve">낙찰기간 : </t>
    <phoneticPr fontId="15" type="noConversion"/>
  </si>
  <si>
    <r>
      <rPr>
        <b/>
        <sz val="11"/>
        <color theme="1"/>
        <rFont val="맑은 고딕"/>
        <family val="3"/>
        <charset val="129"/>
        <scheme val="minor"/>
      </rPr>
      <t>1-2. 대출약정서 제8조 2항</t>
    </r>
    <r>
      <rPr>
        <sz val="11"/>
        <color theme="1"/>
        <rFont val="맑은 고딕"/>
        <family val="3"/>
        <charset val="129"/>
        <scheme val="minor"/>
      </rPr>
      <t>(목표분양률 미달시 할인분양의무 및 트리거수수료) :</t>
    </r>
    <phoneticPr fontId="15" type="noConversion"/>
  </si>
  <si>
    <r>
      <rPr>
        <b/>
        <u/>
        <sz val="11"/>
        <color theme="1"/>
        <rFont val="맑은 고딕"/>
        <family val="3"/>
        <charset val="129"/>
        <scheme val="minor"/>
      </rPr>
      <t>2. 매각가율</t>
    </r>
    <r>
      <rPr>
        <sz val="11"/>
        <color theme="1"/>
        <rFont val="맑은 고딕"/>
        <family val="3"/>
        <charset val="129"/>
        <scheme val="minor"/>
      </rPr>
      <t xml:space="preserve"> : 최근 해당지역 주상복합 매각가율 반영</t>
    </r>
    <phoneticPr fontId="15" type="noConversion"/>
  </si>
  <si>
    <t xml:space="preserve">                  (출처: 부동산114 REPS, 인포케어 옥션)</t>
    <phoneticPr fontId="15" type="noConversion"/>
  </si>
  <si>
    <t>PF건 , 인포케어, 법원경매 중 보수적인것</t>
    <phoneticPr fontId="1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</si>
</sst>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4">
    <numFmt numFmtId="41" formatCode="_-* #,##0_-;\-* #,##0_-;_-* &quot;-&quot;_-;_-@_-"/>
    <numFmt numFmtId="43" formatCode="_-* #,##0.00_-;\-* #,##0.00_-;_-* &quot;-&quot;??_-;_-@_-"/>
    <numFmt numFmtId="176" formatCode="[$-F400]h:mm:ss\ AM/PM"/>
    <numFmt numFmtId="177" formatCode="_-* #,##0.00_-;\-* #,##0.00_-;_-* &quot;-&quot;_-;_-@_-"/>
    <numFmt numFmtId="178" formatCode="0.0_);[Red]\(0.0\)"/>
    <numFmt numFmtId="179" formatCode="0.0%"/>
    <numFmt numFmtId="180" formatCode="_-* #,##0.0_-;\-* #,##0.0_-;_-* &quot;-&quot;_-;_-@_-"/>
    <numFmt numFmtId="181" formatCode="0.00&quot;/PY&quot;"/>
    <numFmt numFmtId="182" formatCode="0.000%"/>
    <numFmt numFmtId="183" formatCode="_(* #,##0_);_(* \(#,##0\);_(* &quot;-&quot;_);_(@_)"/>
    <numFmt numFmtId="184" formatCode="_-* #,##0.0000_-;\-* #,##0.0000_-;_-* &quot;-&quot;_-;_-@_-"/>
    <numFmt numFmtId="185" formatCode="0.0"/>
    <numFmt numFmtId="186" formatCode="0_);[Red]\(0\)"/>
    <numFmt numFmtId="187" formatCode="#,##0.00;\(#,##0.00\);\-"/>
  </numFmts>
  <fonts count="74" x14ac:knownFonts="1">
    <font>
      <sz val="10"/>
      <name val="Arial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0"/>
      <name val="Arial"/>
      <family val="2"/>
    </font>
    <font>
      <sz val="10"/>
      <name val="Arial"/>
      <family val="2"/>
    </font>
    <font>
      <sz val="10"/>
      <name val="돋움"/>
      <family val="3"/>
      <charset val="129"/>
    </font>
    <font>
      <b/>
      <sz val="10"/>
      <name val="Arial"/>
      <family val="2"/>
    </font>
    <font>
      <b/>
      <u/>
      <sz val="10"/>
      <name val="돋움"/>
      <family val="3"/>
      <charset val="129"/>
    </font>
    <font>
      <b/>
      <u/>
      <sz val="10"/>
      <name val="Arial"/>
      <family val="2"/>
    </font>
    <font>
      <sz val="8"/>
      <name val="돋움"/>
      <family val="3"/>
      <charset val="129"/>
    </font>
    <font>
      <b/>
      <sz val="10"/>
      <color theme="1"/>
      <name val="맑은 고딕"/>
      <family val="3"/>
      <charset val="129"/>
      <scheme val="minor"/>
    </font>
    <font>
      <b/>
      <u/>
      <sz val="10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0"/>
      <name val="HY중고딕"/>
      <family val="1"/>
      <charset val="129"/>
    </font>
    <font>
      <b/>
      <sz val="12"/>
      <name val="맑은 고딕"/>
      <family val="3"/>
      <charset val="129"/>
      <scheme val="minor"/>
    </font>
    <font>
      <sz val="8"/>
      <name val="맑은 고딕"/>
      <family val="3"/>
      <charset val="129"/>
    </font>
    <font>
      <b/>
      <sz val="12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0"/>
      <color rgb="FFFF0000"/>
      <name val="맑은 고딕"/>
      <family val="3"/>
      <charset val="129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1"/>
      <color indexed="81"/>
      <name val="돋움"/>
      <family val="3"/>
      <charset val="129"/>
    </font>
    <font>
      <sz val="11"/>
      <color indexed="81"/>
      <name val="Tahoma"/>
      <family val="2"/>
    </font>
    <font>
      <b/>
      <sz val="12"/>
      <color rgb="FFFF0000"/>
      <name val="맑은 고딕"/>
      <family val="3"/>
      <charset val="129"/>
      <scheme val="minor"/>
    </font>
    <font>
      <b/>
      <sz val="10"/>
      <color theme="1"/>
      <name val="맑은 고딕"/>
      <family val="2"/>
      <charset val="129"/>
      <scheme val="minor"/>
    </font>
    <font>
      <sz val="10"/>
      <color rgb="FF300EFA"/>
      <name val="맑은 고딕"/>
      <family val="3"/>
      <charset val="129"/>
      <scheme val="minor"/>
    </font>
    <font>
      <sz val="10"/>
      <color theme="1"/>
      <name val="굴림"/>
      <family val="2"/>
      <charset val="129"/>
    </font>
    <font>
      <sz val="10"/>
      <color theme="0" tint="-0.249977111117893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2"/>
      <color theme="1"/>
      <name val="맑은 고딕"/>
      <family val="3"/>
      <charset val="129"/>
      <scheme val="minor"/>
    </font>
    <font>
      <b/>
      <sz val="20"/>
      <color theme="1"/>
      <name val="맑은 고딕"/>
      <family val="3"/>
      <charset val="129"/>
      <scheme val="minor"/>
    </font>
    <font>
      <sz val="20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b/>
      <u/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theme="4" tint="-0.249977111117893"/>
      <name val="맑은 고딕"/>
      <family val="3"/>
      <charset val="129"/>
      <scheme val="minor"/>
    </font>
    <font>
      <vertAlign val="superscript"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sz val="11"/>
      <name val="Arial"/>
      <family val="2"/>
    </font>
    <font>
      <b/>
      <u/>
      <sz val="11"/>
      <name val="맑은 고딕"/>
      <family val="3"/>
      <charset val="129"/>
      <scheme val="minor"/>
    </font>
    <font>
      <b/>
      <sz val="10"/>
      <name val="맑은 고딕"/>
      <family val="3"/>
      <charset val="129"/>
      <scheme val="minor"/>
    </font>
    <font>
      <b/>
      <u/>
      <sz val="10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b/>
      <u/>
      <sz val="10"/>
      <name val="맑은 고딕"/>
      <family val="3"/>
      <charset val="129"/>
      <scheme val="major"/>
    </font>
    <font>
      <b/>
      <sz val="10"/>
      <name val="맑은 고딕"/>
      <family val="3"/>
      <charset val="129"/>
      <scheme val="major"/>
    </font>
    <font>
      <b/>
      <u/>
      <sz val="10"/>
      <color rgb="FF0070C0"/>
      <name val="Arial"/>
      <family val="2"/>
    </font>
    <font>
      <b/>
      <u/>
      <sz val="10"/>
      <color rgb="FF0070C0"/>
      <name val="돋움"/>
      <family val="3"/>
      <charset val="129"/>
    </font>
    <font>
      <sz val="11"/>
      <color rgb="FFFF0000"/>
      <name val="맑은 고딕"/>
      <family val="3"/>
      <charset val="129"/>
      <scheme val="minor"/>
    </font>
    <font>
      <sz val="10"/>
      <name val="Arial"/>
      <family val="2"/>
    </font>
    <font>
      <b/>
      <sz val="10"/>
      <color rgb="FF0000FF"/>
      <name val="맑은 고딕"/>
      <family val="3"/>
      <charset val="129"/>
      <scheme val="minor"/>
    </font>
    <font>
      <sz val="10"/>
      <color rgb="FF000000"/>
      <name val="맑은 고딕"/>
      <family val="3"/>
      <charset val="129"/>
      <scheme val="minor"/>
    </font>
    <font>
      <b/>
      <sz val="10"/>
      <color rgb="FF000000"/>
      <name val="맑은 고딕"/>
      <family val="3"/>
      <charset val="129"/>
      <scheme val="minor"/>
    </font>
    <font>
      <sz val="10"/>
      <color rgb="FF0000FF"/>
      <name val="맑은 고딕"/>
      <family val="3"/>
      <charset val="129"/>
      <scheme val="minor"/>
    </font>
    <font>
      <b/>
      <sz val="9"/>
      <color indexed="81"/>
      <name val="돋움"/>
      <family val="3"/>
      <charset val="129"/>
    </font>
    <font>
      <b/>
      <u/>
      <sz val="11"/>
      <color rgb="FFFF0000"/>
      <name val="맑은 고딕"/>
      <family val="3"/>
      <charset val="129"/>
      <scheme val="minor"/>
    </font>
    <font>
      <sz val="11"/>
      <name val="돋움"/>
      <family val="3"/>
      <charset val="129"/>
    </font>
    <font>
      <sz val="10"/>
      <color rgb="FF0070C0"/>
      <name val="Arial"/>
      <family val="2"/>
    </font>
    <font>
      <vertAlign val="superscript"/>
      <sz val="10"/>
      <name val="맑은 고딕"/>
      <family val="3"/>
      <charset val="129"/>
      <scheme val="minor"/>
    </font>
    <font>
      <b/>
      <sz val="9"/>
      <color theme="1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sz val="9"/>
      <color theme="1"/>
      <name val="맑은 고딕"/>
      <family val="2"/>
      <charset val="129"/>
      <scheme val="minor"/>
    </font>
    <font>
      <sz val="9"/>
      <color theme="0" tint="-0.249977111117893"/>
      <name val="맑은 고딕"/>
      <family val="2"/>
      <charset val="129"/>
      <scheme val="minor"/>
    </font>
    <font>
      <sz val="9"/>
      <color theme="0" tint="-0.249977111117893"/>
      <name val="맑은 고딕"/>
      <family val="3"/>
      <charset val="129"/>
      <scheme val="minor"/>
    </font>
    <font>
      <b/>
      <sz val="9"/>
      <color theme="0" tint="-0.249977111117893"/>
      <name val="맑은 고딕"/>
      <family val="3"/>
      <charset val="129"/>
      <scheme val="minor"/>
    </font>
    <font>
      <strike/>
      <sz val="10"/>
      <name val="맑은 고딕"/>
      <family val="3"/>
      <charset val="129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rgb="FF808080"/>
      </top>
      <bottom style="thin">
        <color rgb="FF808080"/>
      </bottom>
      <diagonal/>
    </border>
    <border>
      <left style="medium">
        <color rgb="FF203764"/>
      </left>
      <right/>
      <top style="thin">
        <color rgb="FF808080"/>
      </top>
      <bottom style="thin">
        <color rgb="FF808080"/>
      </bottom>
      <diagonal/>
    </border>
    <border>
      <left/>
      <right/>
      <top style="thin">
        <color rgb="FF808080"/>
      </top>
      <bottom/>
      <diagonal/>
    </border>
    <border>
      <left/>
      <right/>
      <top/>
      <bottom style="thin">
        <color rgb="FF808080"/>
      </bottom>
      <diagonal/>
    </border>
    <border>
      <left/>
      <right/>
      <top style="thin">
        <color rgb="FF808080"/>
      </top>
      <bottom style="thin">
        <color indexed="64"/>
      </bottom>
      <diagonal/>
    </border>
  </borders>
  <cellStyleXfs count="56">
    <xf numFmtId="0" fontId="0" fillId="0" borderId="0"/>
    <xf numFmtId="41" fontId="9" fillId="0" borderId="0" applyFont="0" applyFill="0" applyBorder="0" applyAlignment="0" applyProtection="0">
      <alignment vertical="center"/>
    </xf>
    <xf numFmtId="0" fontId="10" fillId="0" borderId="0"/>
    <xf numFmtId="41" fontId="10" fillId="0" borderId="0" applyFont="0" applyFill="0" applyBorder="0" applyAlignment="0" applyProtection="0">
      <alignment vertical="center"/>
    </xf>
    <xf numFmtId="0" fontId="8" fillId="0" borderId="0">
      <alignment vertical="center"/>
    </xf>
    <xf numFmtId="41" fontId="8" fillId="0" borderId="0" applyFont="0" applyFill="0" applyBorder="0" applyAlignment="0" applyProtection="0">
      <alignment vertical="center"/>
    </xf>
    <xf numFmtId="176" fontId="19" fillId="0" borderId="0">
      <alignment vertical="center"/>
    </xf>
    <xf numFmtId="9" fontId="8" fillId="0" borderId="0" applyFont="0" applyFill="0" applyBorder="0" applyAlignment="0" applyProtection="0">
      <alignment vertical="center"/>
    </xf>
    <xf numFmtId="9" fontId="10" fillId="0" borderId="0" applyFont="0" applyFill="0" applyBorder="0" applyAlignment="0" applyProtection="0">
      <alignment vertical="center"/>
    </xf>
    <xf numFmtId="0" fontId="8" fillId="0" borderId="0">
      <alignment vertical="center"/>
    </xf>
    <xf numFmtId="41" fontId="8" fillId="0" borderId="0" applyFont="0" applyFill="0" applyBorder="0" applyAlignment="0" applyProtection="0">
      <alignment vertical="center"/>
    </xf>
    <xf numFmtId="0" fontId="32" fillId="0" borderId="0">
      <alignment vertical="center"/>
    </xf>
    <xf numFmtId="41" fontId="8" fillId="0" borderId="0" applyFont="0" applyFill="0" applyBorder="0" applyAlignment="0" applyProtection="0">
      <alignment vertical="center"/>
    </xf>
    <xf numFmtId="41" fontId="32" fillId="0" borderId="0" applyFont="0" applyFill="0" applyBorder="0" applyAlignment="0" applyProtection="0">
      <alignment vertical="center"/>
    </xf>
    <xf numFmtId="9" fontId="32" fillId="0" borderId="0" applyFont="0" applyFill="0" applyBorder="0" applyAlignment="0" applyProtection="0">
      <alignment vertical="center"/>
    </xf>
    <xf numFmtId="9" fontId="8" fillId="0" borderId="0" applyFont="0" applyFill="0" applyBorder="0" applyAlignment="0" applyProtection="0">
      <alignment vertical="center"/>
    </xf>
    <xf numFmtId="183" fontId="7" fillId="0" borderId="0" applyFont="0" applyFill="0" applyBorder="0" applyAlignment="0" applyProtection="0">
      <alignment vertical="center"/>
    </xf>
    <xf numFmtId="9" fontId="57" fillId="0" borderId="0" applyFont="0" applyFill="0" applyBorder="0" applyAlignment="0" applyProtection="0">
      <alignment vertical="center"/>
    </xf>
    <xf numFmtId="0" fontId="9" fillId="0" borderId="0"/>
    <xf numFmtId="0" fontId="6" fillId="0" borderId="0">
      <alignment vertical="center"/>
    </xf>
    <xf numFmtId="41" fontId="6" fillId="0" borderId="0" applyFont="0" applyFill="0" applyBorder="0" applyAlignment="0" applyProtection="0">
      <alignment vertical="center"/>
    </xf>
    <xf numFmtId="9" fontId="6" fillId="0" borderId="0" applyFont="0" applyFill="0" applyBorder="0" applyAlignment="0" applyProtection="0">
      <alignment vertical="center"/>
    </xf>
    <xf numFmtId="41" fontId="9" fillId="0" borderId="0" applyFon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  <xf numFmtId="0" fontId="6" fillId="0" borderId="0">
      <alignment vertical="center"/>
    </xf>
    <xf numFmtId="41" fontId="6" fillId="0" borderId="0" applyFont="0" applyFill="0" applyBorder="0" applyAlignment="0" applyProtection="0">
      <alignment vertical="center"/>
    </xf>
    <xf numFmtId="41" fontId="6" fillId="0" borderId="0" applyFont="0" applyFill="0" applyBorder="0" applyAlignment="0" applyProtection="0">
      <alignment vertical="center"/>
    </xf>
    <xf numFmtId="9" fontId="6" fillId="0" borderId="0" applyFont="0" applyFill="0" applyBorder="0" applyAlignment="0" applyProtection="0">
      <alignment vertical="center"/>
    </xf>
    <xf numFmtId="0" fontId="5" fillId="0" borderId="0">
      <alignment vertical="center"/>
    </xf>
    <xf numFmtId="41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0" fontId="5" fillId="0" borderId="0">
      <alignment vertical="center"/>
    </xf>
    <xf numFmtId="41" fontId="5" fillId="0" borderId="0" applyFont="0" applyFill="0" applyBorder="0" applyAlignment="0" applyProtection="0">
      <alignment vertical="center"/>
    </xf>
    <xf numFmtId="41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0" fontId="4" fillId="0" borderId="0">
      <alignment vertical="center"/>
    </xf>
    <xf numFmtId="41" fontId="4" fillId="0" borderId="0" applyFont="0" applyFill="0" applyBorder="0" applyAlignment="0" applyProtection="0">
      <alignment vertical="center"/>
    </xf>
    <xf numFmtId="0" fontId="4" fillId="0" borderId="0">
      <alignment vertical="center"/>
    </xf>
    <xf numFmtId="41" fontId="4" fillId="0" borderId="0" applyFont="0" applyFill="0" applyBorder="0" applyAlignment="0" applyProtection="0">
      <alignment vertical="center"/>
    </xf>
    <xf numFmtId="9" fontId="4" fillId="0" borderId="0" applyFont="0" applyFill="0" applyBorder="0" applyAlignment="0" applyProtection="0">
      <alignment vertical="center"/>
    </xf>
    <xf numFmtId="0" fontId="4" fillId="0" borderId="0">
      <alignment vertical="center"/>
    </xf>
    <xf numFmtId="41" fontId="4" fillId="0" borderId="0" applyFont="0" applyFill="0" applyBorder="0" applyAlignment="0" applyProtection="0">
      <alignment vertical="center"/>
    </xf>
    <xf numFmtId="41" fontId="4" fillId="0" borderId="0" applyFont="0" applyFill="0" applyBorder="0" applyAlignment="0" applyProtection="0">
      <alignment vertical="center"/>
    </xf>
    <xf numFmtId="9" fontId="4" fillId="0" borderId="0" applyFont="0" applyFill="0" applyBorder="0" applyAlignment="0" applyProtection="0">
      <alignment vertical="center"/>
    </xf>
    <xf numFmtId="0" fontId="3" fillId="0" borderId="0">
      <alignment vertical="center"/>
    </xf>
    <xf numFmtId="41" fontId="3" fillId="0" borderId="0" applyFont="0" applyFill="0" applyBorder="0" applyAlignment="0" applyProtection="0">
      <alignment vertical="center"/>
    </xf>
    <xf numFmtId="9" fontId="3" fillId="0" borderId="0" applyFont="0" applyFill="0" applyBorder="0" applyAlignment="0" applyProtection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  <xf numFmtId="0" fontId="1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  <xf numFmtId="0" fontId="1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597">
    <xf numFmtId="0" fontId="0" fillId="0" borderId="0" xfId="0" applyAlignment="1">
      <alignment vertical="top"/>
    </xf>
    <xf numFmtId="0" fontId="10" fillId="0" borderId="0" xfId="2" applyAlignment="1">
      <alignment vertical="top"/>
    </xf>
    <xf numFmtId="176" fontId="16" fillId="5" borderId="0" xfId="4" applyNumberFormat="1" applyFont="1" applyFill="1" applyBorder="1" applyAlignment="1">
      <alignment horizontal="center" vertical="center"/>
    </xf>
    <xf numFmtId="41" fontId="16" fillId="5" borderId="0" xfId="5" applyFont="1" applyFill="1" applyBorder="1" applyAlignment="1">
      <alignment horizontal="center" vertical="center"/>
    </xf>
    <xf numFmtId="176" fontId="16" fillId="6" borderId="0" xfId="4" applyNumberFormat="1" applyFont="1" applyFill="1" applyBorder="1" applyAlignment="1">
      <alignment horizontal="center" vertical="center"/>
    </xf>
    <xf numFmtId="176" fontId="16" fillId="7" borderId="0" xfId="4" applyNumberFormat="1" applyFont="1" applyFill="1" applyBorder="1" applyAlignment="1">
      <alignment horizontal="center" vertical="center"/>
    </xf>
    <xf numFmtId="176" fontId="16" fillId="8" borderId="0" xfId="4" applyNumberFormat="1" applyFont="1" applyFill="1" applyBorder="1" applyAlignment="1">
      <alignment horizontal="center" vertical="center"/>
    </xf>
    <xf numFmtId="177" fontId="17" fillId="0" borderId="0" xfId="5" applyNumberFormat="1" applyFont="1" applyFill="1" applyBorder="1" applyAlignment="1">
      <alignment horizontal="right" vertical="center"/>
    </xf>
    <xf numFmtId="14" fontId="20" fillId="4" borderId="2" xfId="6" applyNumberFormat="1" applyFont="1" applyFill="1" applyBorder="1" applyAlignment="1">
      <alignment horizontal="center" vertical="center"/>
    </xf>
    <xf numFmtId="41" fontId="20" fillId="4" borderId="2" xfId="5" applyFont="1" applyFill="1" applyBorder="1" applyAlignment="1">
      <alignment horizontal="center" vertical="center"/>
    </xf>
    <xf numFmtId="176" fontId="20" fillId="4" borderId="2" xfId="6" applyFont="1" applyFill="1" applyBorder="1" applyAlignment="1">
      <alignment horizontal="center" vertical="center"/>
    </xf>
    <xf numFmtId="176" fontId="22" fillId="4" borderId="2" xfId="6" applyFont="1" applyFill="1" applyBorder="1" applyAlignment="1">
      <alignment horizontal="center" vertical="center"/>
    </xf>
    <xf numFmtId="178" fontId="20" fillId="4" borderId="2" xfId="6" applyNumberFormat="1" applyFont="1" applyFill="1" applyBorder="1" applyAlignment="1">
      <alignment horizontal="center" vertical="center"/>
    </xf>
    <xf numFmtId="177" fontId="20" fillId="4" borderId="2" xfId="5" applyNumberFormat="1" applyFont="1" applyFill="1" applyBorder="1" applyAlignment="1">
      <alignment horizontal="center" vertical="center"/>
    </xf>
    <xf numFmtId="3" fontId="23" fillId="0" borderId="3" xfId="2" applyNumberFormat="1" applyFont="1" applyFill="1" applyBorder="1" applyAlignment="1">
      <alignment horizontal="center" vertical="center"/>
    </xf>
    <xf numFmtId="3" fontId="23" fillId="0" borderId="3" xfId="4" applyNumberFormat="1" applyFont="1" applyFill="1" applyBorder="1" applyAlignment="1">
      <alignment horizontal="center" vertical="center"/>
    </xf>
    <xf numFmtId="41" fontId="23" fillId="0" borderId="4" xfId="5" applyFont="1" applyFill="1" applyBorder="1" applyAlignment="1">
      <alignment vertical="center"/>
    </xf>
    <xf numFmtId="3" fontId="24" fillId="0" borderId="3" xfId="4" applyNumberFormat="1" applyFont="1" applyFill="1" applyBorder="1" applyAlignment="1">
      <alignment horizontal="center" vertical="center"/>
    </xf>
    <xf numFmtId="41" fontId="23" fillId="0" borderId="3" xfId="5" applyFont="1" applyFill="1" applyBorder="1" applyAlignment="1">
      <alignment vertical="center"/>
    </xf>
    <xf numFmtId="3" fontId="23" fillId="0" borderId="4" xfId="4" applyNumberFormat="1" applyFont="1" applyFill="1" applyBorder="1" applyAlignment="1">
      <alignment vertical="center"/>
    </xf>
    <xf numFmtId="179" fontId="23" fillId="0" borderId="4" xfId="7" applyNumberFormat="1" applyFont="1" applyFill="1" applyBorder="1" applyAlignment="1">
      <alignment vertical="center"/>
    </xf>
    <xf numFmtId="10" fontId="23" fillId="0" borderId="4" xfId="7" applyNumberFormat="1" applyFont="1" applyFill="1" applyBorder="1" applyAlignment="1">
      <alignment vertical="center"/>
    </xf>
    <xf numFmtId="178" fontId="23" fillId="0" borderId="4" xfId="4" applyNumberFormat="1" applyFont="1" applyFill="1" applyBorder="1" applyAlignment="1">
      <alignment vertical="center"/>
    </xf>
    <xf numFmtId="177" fontId="23" fillId="0" borderId="4" xfId="5" applyNumberFormat="1" applyFont="1" applyFill="1" applyBorder="1" applyAlignment="1">
      <alignment vertical="center"/>
    </xf>
    <xf numFmtId="177" fontId="23" fillId="0" borderId="4" xfId="5" applyNumberFormat="1" applyFont="1" applyFill="1" applyBorder="1" applyAlignment="1">
      <alignment horizontal="center" vertical="center"/>
    </xf>
    <xf numFmtId="3" fontId="16" fillId="5" borderId="0" xfId="4" applyNumberFormat="1" applyFont="1" applyFill="1" applyBorder="1" applyAlignment="1">
      <alignment vertical="center"/>
    </xf>
    <xf numFmtId="176" fontId="29" fillId="4" borderId="2" xfId="6" applyFont="1" applyFill="1" applyBorder="1" applyAlignment="1">
      <alignment horizontal="center" vertical="center"/>
    </xf>
    <xf numFmtId="41" fontId="10" fillId="0" borderId="0" xfId="2" applyNumberFormat="1" applyAlignment="1">
      <alignment vertical="top"/>
    </xf>
    <xf numFmtId="10" fontId="10" fillId="0" borderId="0" xfId="8" applyNumberFormat="1" applyAlignment="1">
      <alignment vertical="top"/>
    </xf>
    <xf numFmtId="0" fontId="34" fillId="5" borderId="7" xfId="4" applyFont="1" applyFill="1" applyBorder="1">
      <alignment vertical="center"/>
    </xf>
    <xf numFmtId="0" fontId="34" fillId="5" borderId="8" xfId="4" applyFont="1" applyFill="1" applyBorder="1">
      <alignment vertical="center"/>
    </xf>
    <xf numFmtId="0" fontId="34" fillId="5" borderId="10" xfId="4" applyFont="1" applyFill="1" applyBorder="1">
      <alignment vertical="center"/>
    </xf>
    <xf numFmtId="0" fontId="34" fillId="5" borderId="0" xfId="4" applyFont="1" applyFill="1" applyBorder="1">
      <alignment vertical="center"/>
    </xf>
    <xf numFmtId="182" fontId="10" fillId="0" borderId="0" xfId="8" applyNumberFormat="1" applyAlignment="1">
      <alignment vertical="top"/>
    </xf>
    <xf numFmtId="43" fontId="10" fillId="0" borderId="0" xfId="2" applyNumberFormat="1" applyAlignment="1">
      <alignment vertical="top"/>
    </xf>
    <xf numFmtId="0" fontId="44" fillId="0" borderId="8" xfId="2" applyFont="1" applyBorder="1" applyAlignment="1">
      <alignment vertical="top"/>
    </xf>
    <xf numFmtId="0" fontId="10" fillId="0" borderId="8" xfId="2" applyBorder="1" applyAlignment="1">
      <alignment vertical="top"/>
    </xf>
    <xf numFmtId="0" fontId="10" fillId="0" borderId="9" xfId="2" applyBorder="1" applyAlignment="1">
      <alignment vertical="top"/>
    </xf>
    <xf numFmtId="0" fontId="44" fillId="0" borderId="0" xfId="2" applyFont="1" applyBorder="1" applyAlignment="1">
      <alignment vertical="top"/>
    </xf>
    <xf numFmtId="0" fontId="10" fillId="0" borderId="0" xfId="2" applyBorder="1" applyAlignment="1">
      <alignment vertical="top"/>
    </xf>
    <xf numFmtId="0" fontId="10" fillId="0" borderId="11" xfId="2" applyBorder="1" applyAlignment="1">
      <alignment vertical="top"/>
    </xf>
    <xf numFmtId="0" fontId="44" fillId="0" borderId="10" xfId="2" applyFont="1" applyBorder="1" applyAlignment="1">
      <alignment vertical="top"/>
    </xf>
    <xf numFmtId="0" fontId="10" fillId="0" borderId="10" xfId="2" applyBorder="1" applyAlignment="1">
      <alignment vertical="top"/>
    </xf>
    <xf numFmtId="0" fontId="10" fillId="0" borderId="12" xfId="2" applyBorder="1" applyAlignment="1">
      <alignment vertical="top"/>
    </xf>
    <xf numFmtId="0" fontId="10" fillId="0" borderId="6" xfId="2" applyBorder="1" applyAlignment="1">
      <alignment vertical="top"/>
    </xf>
    <xf numFmtId="0" fontId="10" fillId="0" borderId="13" xfId="2" applyBorder="1" applyAlignment="1">
      <alignment vertical="top"/>
    </xf>
    <xf numFmtId="0" fontId="46" fillId="0" borderId="0" xfId="2" applyFont="1" applyBorder="1" applyAlignment="1">
      <alignment vertical="top"/>
    </xf>
    <xf numFmtId="0" fontId="47" fillId="0" borderId="8" xfId="2" applyFont="1" applyBorder="1" applyAlignment="1">
      <alignment vertical="top"/>
    </xf>
    <xf numFmtId="0" fontId="44" fillId="0" borderId="0" xfId="2" applyFont="1" applyAlignment="1">
      <alignment vertical="top"/>
    </xf>
    <xf numFmtId="0" fontId="47" fillId="0" borderId="10" xfId="2" applyFont="1" applyBorder="1" applyAlignment="1">
      <alignment vertical="top"/>
    </xf>
    <xf numFmtId="0" fontId="45" fillId="0" borderId="0" xfId="2" applyFont="1" applyBorder="1" applyAlignment="1">
      <alignment vertical="top"/>
    </xf>
    <xf numFmtId="0" fontId="44" fillId="0" borderId="11" xfId="2" applyFont="1" applyBorder="1" applyAlignment="1">
      <alignment vertical="top"/>
    </xf>
    <xf numFmtId="0" fontId="45" fillId="0" borderId="0" xfId="2" applyFont="1" applyBorder="1" applyAlignment="1">
      <alignment vertical="center"/>
    </xf>
    <xf numFmtId="0" fontId="34" fillId="5" borderId="7" xfId="5" applyNumberFormat="1" applyFont="1" applyFill="1" applyBorder="1">
      <alignment vertical="center"/>
    </xf>
    <xf numFmtId="0" fontId="34" fillId="5" borderId="8" xfId="4" applyFont="1" applyFill="1" applyBorder="1" applyAlignment="1">
      <alignment horizontal="center" vertical="center"/>
    </xf>
    <xf numFmtId="0" fontId="34" fillId="5" borderId="10" xfId="5" applyNumberFormat="1" applyFont="1" applyFill="1" applyBorder="1">
      <alignment vertical="center"/>
    </xf>
    <xf numFmtId="0" fontId="34" fillId="5" borderId="0" xfId="4" applyFont="1" applyFill="1" applyBorder="1" applyAlignment="1">
      <alignment horizontal="center" vertical="center"/>
    </xf>
    <xf numFmtId="177" fontId="34" fillId="5" borderId="10" xfId="5" applyNumberFormat="1" applyFont="1" applyFill="1" applyBorder="1">
      <alignment vertical="center"/>
    </xf>
    <xf numFmtId="177" fontId="41" fillId="5" borderId="10" xfId="5" applyNumberFormat="1" applyFont="1" applyFill="1" applyBorder="1">
      <alignment vertical="center"/>
    </xf>
    <xf numFmtId="177" fontId="45" fillId="5" borderId="10" xfId="5" applyNumberFormat="1" applyFont="1" applyFill="1" applyBorder="1">
      <alignment vertical="center"/>
    </xf>
    <xf numFmtId="14" fontId="10" fillId="0" borderId="11" xfId="2" applyNumberFormat="1" applyBorder="1" applyAlignment="1">
      <alignment vertical="top"/>
    </xf>
    <xf numFmtId="14" fontId="44" fillId="0" borderId="0" xfId="2" quotePrefix="1" applyNumberFormat="1" applyFont="1" applyBorder="1" applyAlignment="1">
      <alignment vertical="top"/>
    </xf>
    <xf numFmtId="10" fontId="10" fillId="0" borderId="0" xfId="17" applyNumberFormat="1" applyFont="1" applyAlignment="1">
      <alignment vertical="top"/>
    </xf>
    <xf numFmtId="41" fontId="9" fillId="0" borderId="0" xfId="1" applyFont="1" applyAlignment="1">
      <alignment vertical="top"/>
    </xf>
    <xf numFmtId="41" fontId="16" fillId="5" borderId="0" xfId="1" applyFont="1" applyFill="1" applyBorder="1" applyAlignment="1">
      <alignment horizontal="center" vertical="center"/>
    </xf>
    <xf numFmtId="0" fontId="9" fillId="0" borderId="0" xfId="18" applyAlignment="1">
      <alignment vertical="top"/>
    </xf>
    <xf numFmtId="0" fontId="9" fillId="0" borderId="0" xfId="18" applyFont="1" applyAlignment="1">
      <alignment horizontal="center" vertical="center"/>
    </xf>
    <xf numFmtId="176" fontId="23" fillId="5" borderId="0" xfId="19" applyNumberFormat="1" applyFont="1" applyFill="1" applyBorder="1" applyAlignment="1">
      <alignment horizontal="center" vertical="center"/>
    </xf>
    <xf numFmtId="176" fontId="16" fillId="5" borderId="0" xfId="19" applyNumberFormat="1" applyFont="1" applyFill="1" applyBorder="1" applyAlignment="1">
      <alignment horizontal="center" vertical="center"/>
    </xf>
    <xf numFmtId="176" fontId="16" fillId="6" borderId="0" xfId="19" applyNumberFormat="1" applyFont="1" applyFill="1" applyBorder="1" applyAlignment="1">
      <alignment horizontal="center" vertical="center"/>
    </xf>
    <xf numFmtId="176" fontId="16" fillId="7" borderId="0" xfId="19" applyNumberFormat="1" applyFont="1" applyFill="1" applyBorder="1" applyAlignment="1">
      <alignment horizontal="center" vertical="center"/>
    </xf>
    <xf numFmtId="176" fontId="16" fillId="8" borderId="0" xfId="19" applyNumberFormat="1" applyFont="1" applyFill="1" applyBorder="1" applyAlignment="1">
      <alignment horizontal="center" vertical="center"/>
    </xf>
    <xf numFmtId="177" fontId="17" fillId="0" borderId="0" xfId="20" applyNumberFormat="1" applyFont="1" applyFill="1" applyBorder="1" applyAlignment="1">
      <alignment horizontal="right" vertical="center"/>
    </xf>
    <xf numFmtId="41" fontId="20" fillId="4" borderId="2" xfId="20" applyFont="1" applyFill="1" applyBorder="1" applyAlignment="1">
      <alignment horizontal="center" vertical="center"/>
    </xf>
    <xf numFmtId="177" fontId="20" fillId="4" borderId="2" xfId="20" applyNumberFormat="1" applyFont="1" applyFill="1" applyBorder="1" applyAlignment="1">
      <alignment horizontal="center" vertical="center"/>
    </xf>
    <xf numFmtId="3" fontId="23" fillId="3" borderId="3" xfId="19" applyNumberFormat="1" applyFont="1" applyFill="1" applyBorder="1" applyAlignment="1">
      <alignment horizontal="center" vertical="center"/>
    </xf>
    <xf numFmtId="41" fontId="23" fillId="3" borderId="4" xfId="20" applyFont="1" applyFill="1" applyBorder="1" applyAlignment="1">
      <alignment vertical="center"/>
    </xf>
    <xf numFmtId="3" fontId="24" fillId="3" borderId="3" xfId="19" applyNumberFormat="1" applyFont="1" applyFill="1" applyBorder="1" applyAlignment="1">
      <alignment horizontal="center" vertical="center"/>
    </xf>
    <xf numFmtId="41" fontId="23" fillId="3" borderId="3" xfId="20" applyFont="1" applyFill="1" applyBorder="1" applyAlignment="1">
      <alignment vertical="center"/>
    </xf>
    <xf numFmtId="3" fontId="23" fillId="3" borderId="4" xfId="19" applyNumberFormat="1" applyFont="1" applyFill="1" applyBorder="1" applyAlignment="1">
      <alignment vertical="center"/>
    </xf>
    <xf numFmtId="179" fontId="23" fillId="3" borderId="4" xfId="21" applyNumberFormat="1" applyFont="1" applyFill="1" applyBorder="1" applyAlignment="1">
      <alignment vertical="center"/>
    </xf>
    <xf numFmtId="10" fontId="23" fillId="3" borderId="4" xfId="21" applyNumberFormat="1" applyFont="1" applyFill="1" applyBorder="1" applyAlignment="1">
      <alignment vertical="center"/>
    </xf>
    <xf numFmtId="178" fontId="23" fillId="3" borderId="4" xfId="19" applyNumberFormat="1" applyFont="1" applyFill="1" applyBorder="1" applyAlignment="1">
      <alignment vertical="center"/>
    </xf>
    <xf numFmtId="177" fontId="23" fillId="3" borderId="4" xfId="20" applyNumberFormat="1" applyFont="1" applyFill="1" applyBorder="1" applyAlignment="1">
      <alignment vertical="center"/>
    </xf>
    <xf numFmtId="177" fontId="23" fillId="3" borderId="4" xfId="20" applyNumberFormat="1" applyFont="1" applyFill="1" applyBorder="1" applyAlignment="1">
      <alignment horizontal="center" vertical="center"/>
    </xf>
    <xf numFmtId="41" fontId="23" fillId="3" borderId="4" xfId="22" applyFont="1" applyFill="1" applyBorder="1" applyAlignment="1">
      <alignment vertical="center"/>
    </xf>
    <xf numFmtId="41" fontId="9" fillId="0" borderId="0" xfId="18" applyNumberFormat="1" applyAlignment="1">
      <alignment vertical="top"/>
    </xf>
    <xf numFmtId="3" fontId="9" fillId="0" borderId="0" xfId="18" applyNumberFormat="1" applyAlignment="1">
      <alignment vertical="top"/>
    </xf>
    <xf numFmtId="10" fontId="9" fillId="0" borderId="0" xfId="23" applyNumberFormat="1" applyAlignment="1">
      <alignment vertical="top"/>
    </xf>
    <xf numFmtId="0" fontId="44" fillId="0" borderId="0" xfId="18" applyFont="1" applyBorder="1" applyAlignment="1">
      <alignment vertical="top"/>
    </xf>
    <xf numFmtId="0" fontId="44" fillId="0" borderId="10" xfId="18" applyFont="1" applyBorder="1" applyAlignment="1">
      <alignment vertical="top"/>
    </xf>
    <xf numFmtId="0" fontId="44" fillId="0" borderId="6" xfId="18" applyFont="1" applyBorder="1" applyAlignment="1">
      <alignment vertical="top"/>
    </xf>
    <xf numFmtId="0" fontId="44" fillId="0" borderId="0" xfId="18" applyFont="1" applyAlignment="1">
      <alignment vertical="top"/>
    </xf>
    <xf numFmtId="0" fontId="44" fillId="0" borderId="8" xfId="18" applyFont="1" applyBorder="1" applyAlignment="1">
      <alignment vertical="top"/>
    </xf>
    <xf numFmtId="0" fontId="59" fillId="0" borderId="0" xfId="11" applyFont="1" applyFill="1" applyBorder="1" applyAlignment="1">
      <alignment horizontal="center" vertical="center"/>
    </xf>
    <xf numFmtId="177" fontId="23" fillId="0" borderId="0" xfId="1" applyNumberFormat="1" applyFont="1" applyBorder="1">
      <alignment vertical="center"/>
    </xf>
    <xf numFmtId="0" fontId="44" fillId="0" borderId="0" xfId="18" applyFont="1" applyBorder="1" applyAlignment="1">
      <alignment horizontal="center" vertical="top"/>
    </xf>
    <xf numFmtId="43" fontId="44" fillId="0" borderId="0" xfId="18" applyNumberFormat="1" applyFont="1" applyBorder="1" applyAlignment="1">
      <alignment horizontal="center" vertical="top"/>
    </xf>
    <xf numFmtId="41" fontId="16" fillId="5" borderId="0" xfId="20" applyFont="1" applyFill="1" applyBorder="1" applyAlignment="1">
      <alignment horizontal="center" vertical="center"/>
    </xf>
    <xf numFmtId="0" fontId="9" fillId="0" borderId="0" xfId="18" applyAlignment="1">
      <alignment horizontal="center" vertical="top"/>
    </xf>
    <xf numFmtId="0" fontId="11" fillId="0" borderId="0" xfId="18" applyFont="1" applyAlignment="1">
      <alignment horizontal="center" vertical="top"/>
    </xf>
    <xf numFmtId="41" fontId="9" fillId="0" borderId="0" xfId="1" applyFont="1" applyAlignment="1">
      <alignment horizontal="center" vertical="top"/>
    </xf>
    <xf numFmtId="0" fontId="11" fillId="0" borderId="0" xfId="18" applyFont="1" applyAlignment="1">
      <alignment vertical="top"/>
    </xf>
    <xf numFmtId="9" fontId="9" fillId="0" borderId="0" xfId="18" applyNumberFormat="1" applyAlignment="1">
      <alignment vertical="top"/>
    </xf>
    <xf numFmtId="0" fontId="9" fillId="0" borderId="0" xfId="18" applyFont="1" applyAlignment="1">
      <alignment vertical="top"/>
    </xf>
    <xf numFmtId="3" fontId="23" fillId="0" borderId="3" xfId="19" applyNumberFormat="1" applyFont="1" applyFill="1" applyBorder="1" applyAlignment="1">
      <alignment horizontal="center" vertical="center"/>
    </xf>
    <xf numFmtId="41" fontId="23" fillId="0" borderId="4" xfId="20" applyFont="1" applyFill="1" applyBorder="1" applyAlignment="1">
      <alignment vertical="center"/>
    </xf>
    <xf numFmtId="3" fontId="24" fillId="0" borderId="3" xfId="19" applyNumberFormat="1" applyFont="1" applyFill="1" applyBorder="1" applyAlignment="1">
      <alignment horizontal="center" vertical="center"/>
    </xf>
    <xf numFmtId="41" fontId="23" fillId="0" borderId="3" xfId="20" applyFont="1" applyFill="1" applyBorder="1" applyAlignment="1">
      <alignment vertical="center"/>
    </xf>
    <xf numFmtId="3" fontId="23" fillId="0" borderId="4" xfId="19" applyNumberFormat="1" applyFont="1" applyFill="1" applyBorder="1" applyAlignment="1">
      <alignment vertical="center"/>
    </xf>
    <xf numFmtId="179" fontId="23" fillId="0" borderId="4" xfId="21" applyNumberFormat="1" applyFont="1" applyFill="1" applyBorder="1" applyAlignment="1">
      <alignment vertical="center"/>
    </xf>
    <xf numFmtId="10" fontId="23" fillId="0" borderId="4" xfId="21" applyNumberFormat="1" applyFont="1" applyFill="1" applyBorder="1" applyAlignment="1">
      <alignment vertical="center"/>
    </xf>
    <xf numFmtId="178" fontId="44" fillId="0" borderId="4" xfId="19" applyNumberFormat="1" applyFont="1" applyFill="1" applyBorder="1" applyAlignment="1">
      <alignment vertical="center"/>
    </xf>
    <xf numFmtId="177" fontId="23" fillId="0" borderId="4" xfId="20" applyNumberFormat="1" applyFont="1" applyFill="1" applyBorder="1" applyAlignment="1">
      <alignment vertical="center"/>
    </xf>
    <xf numFmtId="177" fontId="23" fillId="0" borderId="4" xfId="20" applyNumberFormat="1" applyFont="1" applyFill="1" applyBorder="1" applyAlignment="1">
      <alignment horizontal="center" vertical="center"/>
    </xf>
    <xf numFmtId="179" fontId="9" fillId="0" borderId="0" xfId="23" applyNumberFormat="1" applyFont="1" applyAlignment="1">
      <alignment vertical="top"/>
    </xf>
    <xf numFmtId="0" fontId="34" fillId="5" borderId="7" xfId="19" applyFont="1" applyFill="1" applyBorder="1">
      <alignment vertical="center"/>
    </xf>
    <xf numFmtId="0" fontId="9" fillId="0" borderId="8" xfId="18" applyBorder="1" applyAlignment="1">
      <alignment vertical="top"/>
    </xf>
    <xf numFmtId="0" fontId="9" fillId="0" borderId="9" xfId="18" applyBorder="1" applyAlignment="1">
      <alignment vertical="top"/>
    </xf>
    <xf numFmtId="0" fontId="34" fillId="5" borderId="10" xfId="19" applyFont="1" applyFill="1" applyBorder="1">
      <alignment vertical="center"/>
    </xf>
    <xf numFmtId="0" fontId="9" fillId="0" borderId="0" xfId="18" applyBorder="1" applyAlignment="1">
      <alignment vertical="top"/>
    </xf>
    <xf numFmtId="0" fontId="9" fillId="0" borderId="11" xfId="18" applyBorder="1" applyAlignment="1">
      <alignment vertical="top"/>
    </xf>
    <xf numFmtId="0" fontId="9" fillId="0" borderId="10" xfId="18" applyBorder="1" applyAlignment="1">
      <alignment vertical="top"/>
    </xf>
    <xf numFmtId="0" fontId="9" fillId="0" borderId="12" xfId="18" applyBorder="1" applyAlignment="1">
      <alignment vertical="top"/>
    </xf>
    <xf numFmtId="0" fontId="9" fillId="0" borderId="6" xfId="18" applyBorder="1" applyAlignment="1">
      <alignment vertical="top"/>
    </xf>
    <xf numFmtId="0" fontId="9" fillId="0" borderId="13" xfId="18" applyBorder="1" applyAlignment="1">
      <alignment vertical="top"/>
    </xf>
    <xf numFmtId="0" fontId="45" fillId="5" borderId="7" xfId="20" applyNumberFormat="1" applyFont="1" applyFill="1" applyBorder="1">
      <alignment vertical="center"/>
    </xf>
    <xf numFmtId="0" fontId="34" fillId="5" borderId="8" xfId="19" applyFont="1" applyFill="1" applyBorder="1" applyAlignment="1">
      <alignment horizontal="center" vertical="center"/>
    </xf>
    <xf numFmtId="0" fontId="34" fillId="5" borderId="8" xfId="19" applyFont="1" applyFill="1" applyBorder="1">
      <alignment vertical="center"/>
    </xf>
    <xf numFmtId="0" fontId="34" fillId="5" borderId="10" xfId="20" applyNumberFormat="1" applyFont="1" applyFill="1" applyBorder="1">
      <alignment vertical="center"/>
    </xf>
    <xf numFmtId="0" fontId="34" fillId="5" borderId="0" xfId="19" applyFont="1" applyFill="1" applyBorder="1" applyAlignment="1">
      <alignment horizontal="center" vertical="center"/>
    </xf>
    <xf numFmtId="0" fontId="34" fillId="5" borderId="0" xfId="19" applyFont="1" applyFill="1" applyBorder="1">
      <alignment vertical="center"/>
    </xf>
    <xf numFmtId="177" fontId="34" fillId="5" borderId="10" xfId="20" applyNumberFormat="1" applyFont="1" applyFill="1" applyBorder="1">
      <alignment vertical="center"/>
    </xf>
    <xf numFmtId="0" fontId="45" fillId="5" borderId="0" xfId="19" applyFont="1" applyFill="1" applyBorder="1" applyAlignment="1">
      <alignment horizontal="left" vertical="center"/>
    </xf>
    <xf numFmtId="177" fontId="41" fillId="5" borderId="10" xfId="20" applyNumberFormat="1" applyFont="1" applyFill="1" applyBorder="1">
      <alignment vertical="center"/>
    </xf>
    <xf numFmtId="0" fontId="34" fillId="5" borderId="1" xfId="19" applyFont="1" applyFill="1" applyBorder="1" applyAlignment="1">
      <alignment horizontal="center" vertical="center"/>
    </xf>
    <xf numFmtId="9" fontId="34" fillId="5" borderId="1" xfId="19" applyNumberFormat="1" applyFont="1" applyFill="1" applyBorder="1" applyAlignment="1">
      <alignment horizontal="center" vertical="center"/>
    </xf>
    <xf numFmtId="14" fontId="34" fillId="5" borderId="1" xfId="19" applyNumberFormat="1" applyFont="1" applyFill="1" applyBorder="1" applyAlignment="1">
      <alignment horizontal="center" vertical="center"/>
    </xf>
    <xf numFmtId="14" fontId="9" fillId="0" borderId="11" xfId="18" applyNumberFormat="1" applyBorder="1" applyAlignment="1">
      <alignment vertical="top"/>
    </xf>
    <xf numFmtId="0" fontId="43" fillId="5" borderId="1" xfId="19" applyFont="1" applyFill="1" applyBorder="1" applyAlignment="1">
      <alignment horizontal="center" vertical="center"/>
    </xf>
    <xf numFmtId="0" fontId="34" fillId="5" borderId="1" xfId="22" applyNumberFormat="1" applyFont="1" applyFill="1" applyBorder="1" applyAlignment="1">
      <alignment horizontal="center" vertical="center"/>
    </xf>
    <xf numFmtId="0" fontId="12" fillId="0" borderId="11" xfId="18" applyFont="1" applyBorder="1" applyAlignment="1">
      <alignment vertical="top"/>
    </xf>
    <xf numFmtId="0" fontId="46" fillId="0" borderId="0" xfId="18" applyFont="1" applyBorder="1" applyAlignment="1">
      <alignment vertical="top"/>
    </xf>
    <xf numFmtId="43" fontId="9" fillId="0" borderId="0" xfId="18" applyNumberFormat="1" applyAlignment="1">
      <alignment vertical="top"/>
    </xf>
    <xf numFmtId="41" fontId="9" fillId="0" borderId="0" xfId="1" applyAlignment="1">
      <alignment vertical="top"/>
    </xf>
    <xf numFmtId="0" fontId="34" fillId="5" borderId="0" xfId="19" applyFont="1" applyFill="1">
      <alignment vertical="center"/>
    </xf>
    <xf numFmtId="10" fontId="37" fillId="5" borderId="0" xfId="23" applyNumberFormat="1" applyFont="1" applyFill="1" applyBorder="1" applyAlignment="1"/>
    <xf numFmtId="182" fontId="38" fillId="5" borderId="0" xfId="23" applyNumberFormat="1" applyFont="1" applyFill="1" applyBorder="1" applyAlignment="1"/>
    <xf numFmtId="10" fontId="37" fillId="5" borderId="0" xfId="23" applyNumberFormat="1" applyFont="1" applyFill="1" applyAlignment="1">
      <alignment horizontal="right" vertical="center"/>
    </xf>
    <xf numFmtId="10" fontId="23" fillId="5" borderId="0" xfId="23" applyNumberFormat="1" applyFont="1" applyFill="1" applyBorder="1" applyAlignment="1">
      <alignment vertical="center"/>
    </xf>
    <xf numFmtId="0" fontId="12" fillId="0" borderId="0" xfId="18" applyFont="1" applyAlignment="1">
      <alignment vertical="top"/>
    </xf>
    <xf numFmtId="14" fontId="44" fillId="0" borderId="0" xfId="18" quotePrefix="1" applyNumberFormat="1" applyFont="1" applyBorder="1" applyAlignment="1">
      <alignment vertical="top"/>
    </xf>
    <xf numFmtId="0" fontId="44" fillId="0" borderId="0" xfId="18" quotePrefix="1" applyFont="1" applyBorder="1" applyAlignment="1">
      <alignment vertical="top"/>
    </xf>
    <xf numFmtId="41" fontId="23" fillId="0" borderId="4" xfId="1" applyFont="1" applyFill="1" applyBorder="1" applyAlignment="1">
      <alignment horizontal="center" vertical="center"/>
    </xf>
    <xf numFmtId="41" fontId="24" fillId="0" borderId="4" xfId="1" applyFont="1" applyFill="1" applyBorder="1" applyAlignment="1">
      <alignment horizontal="center" vertical="center"/>
    </xf>
    <xf numFmtId="176" fontId="23" fillId="5" borderId="0" xfId="35" applyNumberFormat="1" applyFont="1" applyFill="1" applyBorder="1" applyAlignment="1">
      <alignment horizontal="center" vertical="center"/>
    </xf>
    <xf numFmtId="176" fontId="16" fillId="5" borderId="0" xfId="35" applyNumberFormat="1" applyFont="1" applyFill="1" applyBorder="1" applyAlignment="1">
      <alignment horizontal="center" vertical="center"/>
    </xf>
    <xf numFmtId="41" fontId="58" fillId="5" borderId="0" xfId="36" applyFont="1" applyFill="1" applyBorder="1" applyAlignment="1">
      <alignment horizontal="center" vertical="center"/>
    </xf>
    <xf numFmtId="176" fontId="16" fillId="6" borderId="0" xfId="35" applyNumberFormat="1" applyFont="1" applyFill="1" applyBorder="1" applyAlignment="1">
      <alignment horizontal="center" vertical="center"/>
    </xf>
    <xf numFmtId="176" fontId="16" fillId="7" borderId="0" xfId="35" applyNumberFormat="1" applyFont="1" applyFill="1" applyBorder="1" applyAlignment="1">
      <alignment horizontal="center" vertical="center"/>
    </xf>
    <xf numFmtId="176" fontId="16" fillId="8" borderId="0" xfId="35" applyNumberFormat="1" applyFont="1" applyFill="1" applyBorder="1" applyAlignment="1">
      <alignment horizontal="center" vertical="center"/>
    </xf>
    <xf numFmtId="177" fontId="17" fillId="0" borderId="0" xfId="36" applyNumberFormat="1" applyFont="1" applyFill="1" applyBorder="1" applyAlignment="1">
      <alignment horizontal="right" vertical="center"/>
    </xf>
    <xf numFmtId="0" fontId="34" fillId="5" borderId="0" xfId="37" applyFont="1" applyFill="1">
      <alignment vertical="center"/>
    </xf>
    <xf numFmtId="41" fontId="20" fillId="4" borderId="2" xfId="36" applyFont="1" applyFill="1" applyBorder="1" applyAlignment="1">
      <alignment horizontal="center" vertical="center"/>
    </xf>
    <xf numFmtId="177" fontId="20" fillId="4" borderId="2" xfId="36" applyNumberFormat="1" applyFont="1" applyFill="1" applyBorder="1" applyAlignment="1">
      <alignment horizontal="center" vertical="center"/>
    </xf>
    <xf numFmtId="177" fontId="20" fillId="4" borderId="2" xfId="38" applyNumberFormat="1" applyFont="1" applyFill="1" applyBorder="1" applyAlignment="1">
      <alignment horizontal="center" vertical="center"/>
    </xf>
    <xf numFmtId="3" fontId="23" fillId="3" borderId="3" xfId="35" applyNumberFormat="1" applyFont="1" applyFill="1" applyBorder="1" applyAlignment="1">
      <alignment horizontal="center" vertical="center"/>
    </xf>
    <xf numFmtId="41" fontId="23" fillId="3" borderId="4" xfId="36" applyFont="1" applyFill="1" applyBorder="1" applyAlignment="1">
      <alignment vertical="center"/>
    </xf>
    <xf numFmtId="3" fontId="24" fillId="3" borderId="3" xfId="35" applyNumberFormat="1" applyFont="1" applyFill="1" applyBorder="1" applyAlignment="1">
      <alignment horizontal="center" vertical="center"/>
    </xf>
    <xf numFmtId="41" fontId="23" fillId="3" borderId="3" xfId="36" applyFont="1" applyFill="1" applyBorder="1" applyAlignment="1">
      <alignment vertical="center"/>
    </xf>
    <xf numFmtId="3" fontId="23" fillId="3" borderId="4" xfId="35" applyNumberFormat="1" applyFont="1" applyFill="1" applyBorder="1" applyAlignment="1">
      <alignment vertical="center"/>
    </xf>
    <xf numFmtId="179" fontId="23" fillId="3" borderId="4" xfId="39" applyNumberFormat="1" applyFont="1" applyFill="1" applyBorder="1" applyAlignment="1">
      <alignment vertical="center"/>
    </xf>
    <xf numFmtId="10" fontId="23" fillId="3" borderId="4" xfId="39" applyNumberFormat="1" applyFont="1" applyFill="1" applyBorder="1" applyAlignment="1">
      <alignment vertical="center"/>
    </xf>
    <xf numFmtId="178" fontId="23" fillId="3" borderId="4" xfId="35" applyNumberFormat="1" applyFont="1" applyFill="1" applyBorder="1" applyAlignment="1">
      <alignment vertical="center"/>
    </xf>
    <xf numFmtId="177" fontId="23" fillId="3" borderId="4" xfId="36" applyNumberFormat="1" applyFont="1" applyFill="1" applyBorder="1" applyAlignment="1">
      <alignment vertical="center"/>
    </xf>
    <xf numFmtId="177" fontId="23" fillId="3" borderId="4" xfId="36" applyNumberFormat="1" applyFont="1" applyFill="1" applyBorder="1" applyAlignment="1">
      <alignment horizontal="center" vertical="center"/>
    </xf>
    <xf numFmtId="0" fontId="30" fillId="0" borderId="0" xfId="40" applyFont="1">
      <alignment vertical="center"/>
    </xf>
    <xf numFmtId="0" fontId="23" fillId="0" borderId="0" xfId="40" applyFont="1">
      <alignment vertical="center"/>
    </xf>
    <xf numFmtId="0" fontId="16" fillId="0" borderId="0" xfId="40" applyFont="1">
      <alignment vertical="center"/>
    </xf>
    <xf numFmtId="0" fontId="23" fillId="0" borderId="1" xfId="40" applyFont="1" applyBorder="1">
      <alignment vertical="center"/>
    </xf>
    <xf numFmtId="0" fontId="16" fillId="0" borderId="0" xfId="40" applyFont="1" applyBorder="1">
      <alignment vertical="center"/>
    </xf>
    <xf numFmtId="41" fontId="33" fillId="0" borderId="0" xfId="41" applyFont="1" applyBorder="1">
      <alignment vertical="center"/>
    </xf>
    <xf numFmtId="0" fontId="23" fillId="0" borderId="0" xfId="40" applyFont="1" applyBorder="1">
      <alignment vertical="center"/>
    </xf>
    <xf numFmtId="41" fontId="31" fillId="0" borderId="0" xfId="41" applyFont="1" applyFill="1" applyBorder="1" applyAlignment="1">
      <alignment horizontal="center" vertical="center"/>
    </xf>
    <xf numFmtId="0" fontId="33" fillId="0" borderId="0" xfId="40" applyFont="1">
      <alignment vertical="center"/>
    </xf>
    <xf numFmtId="41" fontId="23" fillId="0" borderId="0" xfId="41" applyFont="1" applyBorder="1" applyAlignment="1">
      <alignment horizontal="center" vertical="center"/>
    </xf>
    <xf numFmtId="41" fontId="33" fillId="0" borderId="0" xfId="41" applyFont="1">
      <alignment vertical="center"/>
    </xf>
    <xf numFmtId="179" fontId="61" fillId="0" borderId="0" xfId="40" applyNumberFormat="1" applyFont="1" applyBorder="1" applyAlignment="1">
      <alignment horizontal="right" vertical="center"/>
    </xf>
    <xf numFmtId="43" fontId="23" fillId="0" borderId="0" xfId="40" applyNumberFormat="1" applyFont="1" applyBorder="1">
      <alignment vertical="center"/>
    </xf>
    <xf numFmtId="177" fontId="23" fillId="0" borderId="0" xfId="41" applyNumberFormat="1" applyFont="1" applyBorder="1" applyAlignment="1">
      <alignment horizontal="center" vertical="center"/>
    </xf>
    <xf numFmtId="9" fontId="33" fillId="0" borderId="0" xfId="41" applyNumberFormat="1" applyFont="1">
      <alignment vertical="center"/>
    </xf>
    <xf numFmtId="10" fontId="33" fillId="0" borderId="0" xfId="43" applyNumberFormat="1" applyFont="1">
      <alignment vertical="center"/>
    </xf>
    <xf numFmtId="0" fontId="23" fillId="0" borderId="0" xfId="40" applyFont="1" applyBorder="1" applyAlignment="1">
      <alignment horizontal="left" vertical="center"/>
    </xf>
    <xf numFmtId="10" fontId="23" fillId="0" borderId="0" xfId="40" applyNumberFormat="1" applyFont="1" applyBorder="1">
      <alignment vertical="center"/>
    </xf>
    <xf numFmtId="0" fontId="23" fillId="0" borderId="6" xfId="40" applyFont="1" applyBorder="1">
      <alignment vertical="center"/>
    </xf>
    <xf numFmtId="0" fontId="9" fillId="0" borderId="0" xfId="2" applyFont="1" applyBorder="1" applyAlignment="1">
      <alignment vertical="top"/>
    </xf>
    <xf numFmtId="14" fontId="44" fillId="0" borderId="0" xfId="2" quotePrefix="1" applyNumberFormat="1" applyFont="1" applyBorder="1" applyAlignment="1">
      <alignment horizontal="left" vertical="top"/>
    </xf>
    <xf numFmtId="0" fontId="39" fillId="5" borderId="7" xfId="4" applyFont="1" applyFill="1" applyBorder="1">
      <alignment vertical="center"/>
    </xf>
    <xf numFmtId="0" fontId="47" fillId="0" borderId="6" xfId="2" applyFont="1" applyBorder="1" applyAlignment="1">
      <alignment vertical="top"/>
    </xf>
    <xf numFmtId="177" fontId="44" fillId="0" borderId="4" xfId="5" applyNumberFormat="1" applyFont="1" applyFill="1" applyBorder="1" applyAlignment="1">
      <alignment horizontal="center" vertical="center"/>
    </xf>
    <xf numFmtId="176" fontId="16" fillId="5" borderId="0" xfId="44" applyNumberFormat="1" applyFont="1" applyFill="1" applyBorder="1" applyAlignment="1">
      <alignment horizontal="center" vertical="center"/>
    </xf>
    <xf numFmtId="41" fontId="16" fillId="5" borderId="0" xfId="45" applyFont="1" applyFill="1" applyBorder="1" applyAlignment="1">
      <alignment horizontal="center" vertical="center"/>
    </xf>
    <xf numFmtId="176" fontId="16" fillId="6" borderId="0" xfId="44" applyNumberFormat="1" applyFont="1" applyFill="1" applyBorder="1" applyAlignment="1">
      <alignment horizontal="center" vertical="center"/>
    </xf>
    <xf numFmtId="176" fontId="16" fillId="7" borderId="0" xfId="44" applyNumberFormat="1" applyFont="1" applyFill="1" applyBorder="1" applyAlignment="1">
      <alignment horizontal="center" vertical="center"/>
    </xf>
    <xf numFmtId="176" fontId="16" fillId="8" borderId="0" xfId="44" applyNumberFormat="1" applyFont="1" applyFill="1" applyBorder="1" applyAlignment="1">
      <alignment horizontal="center" vertical="center"/>
    </xf>
    <xf numFmtId="177" fontId="17" fillId="0" borderId="0" xfId="45" applyNumberFormat="1" applyFont="1" applyFill="1" applyBorder="1" applyAlignment="1">
      <alignment horizontal="right" vertical="center"/>
    </xf>
    <xf numFmtId="41" fontId="20" fillId="4" borderId="2" xfId="45" applyFont="1" applyFill="1" applyBorder="1" applyAlignment="1">
      <alignment horizontal="center" vertical="center"/>
    </xf>
    <xf numFmtId="177" fontId="20" fillId="4" borderId="2" xfId="45" applyNumberFormat="1" applyFont="1" applyFill="1" applyBorder="1" applyAlignment="1">
      <alignment horizontal="center" vertical="center"/>
    </xf>
    <xf numFmtId="3" fontId="23" fillId="0" borderId="3" xfId="44" applyNumberFormat="1" applyFont="1" applyFill="1" applyBorder="1" applyAlignment="1">
      <alignment horizontal="center" vertical="center"/>
    </xf>
    <xf numFmtId="41" fontId="23" fillId="0" borderId="4" xfId="45" applyFont="1" applyFill="1" applyBorder="1" applyAlignment="1">
      <alignment vertical="center"/>
    </xf>
    <xf numFmtId="3" fontId="24" fillId="0" borderId="3" xfId="44" applyNumberFormat="1" applyFont="1" applyFill="1" applyBorder="1" applyAlignment="1">
      <alignment horizontal="center" vertical="center"/>
    </xf>
    <xf numFmtId="41" fontId="23" fillId="0" borderId="3" xfId="45" applyFont="1" applyFill="1" applyBorder="1" applyAlignment="1">
      <alignment vertical="center"/>
    </xf>
    <xf numFmtId="3" fontId="23" fillId="0" borderId="4" xfId="44" applyNumberFormat="1" applyFont="1" applyFill="1" applyBorder="1" applyAlignment="1">
      <alignment vertical="center"/>
    </xf>
    <xf numFmtId="179" fontId="23" fillId="0" borderId="4" xfId="46" applyNumberFormat="1" applyFont="1" applyFill="1" applyBorder="1" applyAlignment="1">
      <alignment vertical="center"/>
    </xf>
    <xf numFmtId="10" fontId="23" fillId="0" borderId="4" xfId="46" applyNumberFormat="1" applyFont="1" applyFill="1" applyBorder="1" applyAlignment="1">
      <alignment vertical="center"/>
    </xf>
    <xf numFmtId="178" fontId="23" fillId="0" borderId="4" xfId="44" applyNumberFormat="1" applyFont="1" applyFill="1" applyBorder="1" applyAlignment="1">
      <alignment vertical="center"/>
    </xf>
    <xf numFmtId="177" fontId="23" fillId="0" borderId="4" xfId="45" applyNumberFormat="1" applyFont="1" applyFill="1" applyBorder="1" applyAlignment="1">
      <alignment vertical="center"/>
    </xf>
    <xf numFmtId="177" fontId="23" fillId="0" borderId="4" xfId="45" applyNumberFormat="1" applyFont="1" applyFill="1" applyBorder="1" applyAlignment="1">
      <alignment horizontal="center" vertical="center"/>
    </xf>
    <xf numFmtId="0" fontId="34" fillId="5" borderId="7" xfId="44" applyFont="1" applyFill="1" applyBorder="1">
      <alignment vertical="center"/>
    </xf>
    <xf numFmtId="0" fontId="34" fillId="5" borderId="10" xfId="44" applyFont="1" applyFill="1" applyBorder="1">
      <alignment vertical="center"/>
    </xf>
    <xf numFmtId="10" fontId="9" fillId="0" borderId="0" xfId="18" applyNumberFormat="1" applyBorder="1" applyAlignment="1">
      <alignment vertical="top"/>
    </xf>
    <xf numFmtId="0" fontId="34" fillId="5" borderId="7" xfId="45" applyNumberFormat="1" applyFont="1" applyFill="1" applyBorder="1">
      <alignment vertical="center"/>
    </xf>
    <xf numFmtId="0" fontId="45" fillId="5" borderId="0" xfId="44" applyFont="1" applyFill="1" applyBorder="1" applyAlignment="1">
      <alignment horizontal="left" vertical="center"/>
    </xf>
    <xf numFmtId="14" fontId="9" fillId="0" borderId="0" xfId="18" applyNumberFormat="1" applyBorder="1" applyAlignment="1">
      <alignment vertical="top"/>
    </xf>
    <xf numFmtId="0" fontId="11" fillId="0" borderId="0" xfId="18" applyFont="1" applyBorder="1" applyAlignment="1">
      <alignment vertical="top"/>
    </xf>
    <xf numFmtId="185" fontId="9" fillId="0" borderId="0" xfId="18" applyNumberFormat="1" applyBorder="1" applyAlignment="1">
      <alignment vertical="top"/>
    </xf>
    <xf numFmtId="0" fontId="45" fillId="5" borderId="0" xfId="4" applyFont="1" applyFill="1" applyBorder="1" applyAlignment="1">
      <alignment horizontal="left" vertical="center"/>
    </xf>
    <xf numFmtId="0" fontId="44" fillId="2" borderId="10" xfId="2" applyFont="1" applyFill="1" applyBorder="1" applyAlignment="1">
      <alignment vertical="top"/>
    </xf>
    <xf numFmtId="14" fontId="44" fillId="2" borderId="0" xfId="2" quotePrefix="1" applyNumberFormat="1" applyFont="1" applyFill="1" applyBorder="1" applyAlignment="1">
      <alignment horizontal="left" vertical="top"/>
    </xf>
    <xf numFmtId="41" fontId="44" fillId="0" borderId="4" xfId="5" applyFont="1" applyFill="1" applyBorder="1" applyAlignment="1">
      <alignment vertical="center"/>
    </xf>
    <xf numFmtId="180" fontId="9" fillId="0" borderId="0" xfId="1" applyNumberFormat="1" applyBorder="1" applyAlignment="1">
      <alignment vertical="top"/>
    </xf>
    <xf numFmtId="0" fontId="11" fillId="0" borderId="15" xfId="18" applyFont="1" applyBorder="1" applyAlignment="1">
      <alignment horizontal="center" vertical="top"/>
    </xf>
    <xf numFmtId="0" fontId="11" fillId="0" borderId="16" xfId="18" applyFont="1" applyBorder="1" applyAlignment="1">
      <alignment horizontal="center" vertical="top"/>
    </xf>
    <xf numFmtId="0" fontId="11" fillId="0" borderId="17" xfId="18" applyFont="1" applyBorder="1" applyAlignment="1">
      <alignment horizontal="center" vertical="top"/>
    </xf>
    <xf numFmtId="0" fontId="11" fillId="0" borderId="18" xfId="18" applyFont="1" applyBorder="1" applyAlignment="1">
      <alignment horizontal="center" vertical="top"/>
    </xf>
    <xf numFmtId="10" fontId="65" fillId="0" borderId="0" xfId="18" applyNumberFormat="1" applyFont="1" applyBorder="1" applyAlignment="1">
      <alignment horizontal="center" vertical="top"/>
    </xf>
    <xf numFmtId="10" fontId="9" fillId="0" borderId="0" xfId="23" applyNumberFormat="1" applyFont="1" applyBorder="1" applyAlignment="1">
      <alignment horizontal="center" vertical="top"/>
    </xf>
    <xf numFmtId="179" fontId="9" fillId="0" borderId="19" xfId="23" applyNumberFormat="1" applyFont="1" applyBorder="1" applyAlignment="1">
      <alignment horizontal="center" vertical="top"/>
    </xf>
    <xf numFmtId="10" fontId="9" fillId="0" borderId="0" xfId="18" applyNumberFormat="1" applyBorder="1" applyAlignment="1">
      <alignment horizontal="center" vertical="top"/>
    </xf>
    <xf numFmtId="0" fontId="9" fillId="0" borderId="20" xfId="18" applyBorder="1" applyAlignment="1">
      <alignment vertical="top"/>
    </xf>
    <xf numFmtId="0" fontId="9" fillId="0" borderId="21" xfId="18" applyBorder="1" applyAlignment="1">
      <alignment vertical="top"/>
    </xf>
    <xf numFmtId="10" fontId="12" fillId="9" borderId="22" xfId="18" applyNumberFormat="1" applyFont="1" applyFill="1" applyBorder="1" applyAlignment="1">
      <alignment horizontal="center" vertical="top"/>
    </xf>
    <xf numFmtId="0" fontId="11" fillId="0" borderId="0" xfId="18" applyFont="1" applyAlignment="1">
      <alignment horizontal="right" vertical="top"/>
    </xf>
    <xf numFmtId="0" fontId="9" fillId="0" borderId="0" xfId="18" applyAlignment="1">
      <alignment horizontal="right" vertical="top"/>
    </xf>
    <xf numFmtId="179" fontId="9" fillId="0" borderId="0" xfId="23" applyNumberFormat="1" applyFont="1" applyAlignment="1">
      <alignment horizontal="right" vertical="top"/>
    </xf>
    <xf numFmtId="179" fontId="65" fillId="0" borderId="0" xfId="18" applyNumberFormat="1" applyFont="1" applyAlignment="1">
      <alignment horizontal="right" vertical="top"/>
    </xf>
    <xf numFmtId="179" fontId="12" fillId="9" borderId="0" xfId="18" applyNumberFormat="1" applyFont="1" applyFill="1" applyAlignment="1">
      <alignment vertical="top"/>
    </xf>
    <xf numFmtId="41" fontId="23" fillId="5" borderId="0" xfId="1" applyFont="1" applyFill="1">
      <alignment vertical="center"/>
    </xf>
    <xf numFmtId="0" fontId="44" fillId="0" borderId="0" xfId="2" applyFont="1" applyFill="1" applyAlignment="1">
      <alignment vertical="top"/>
    </xf>
    <xf numFmtId="10" fontId="44" fillId="0" borderId="0" xfId="17" applyNumberFormat="1" applyFont="1" applyAlignment="1">
      <alignment vertical="top"/>
    </xf>
    <xf numFmtId="41" fontId="44" fillId="0" borderId="0" xfId="3" applyFont="1" applyAlignment="1">
      <alignment vertical="top"/>
    </xf>
    <xf numFmtId="0" fontId="44" fillId="0" borderId="1" xfId="2" applyFont="1" applyBorder="1" applyAlignment="1">
      <alignment horizontal="center" vertical="top"/>
    </xf>
    <xf numFmtId="14" fontId="49" fillId="4" borderId="2" xfId="6" applyNumberFormat="1" applyFont="1" applyFill="1" applyBorder="1" applyAlignment="1">
      <alignment horizontal="center" vertical="center"/>
    </xf>
    <xf numFmtId="41" fontId="49" fillId="4" borderId="2" xfId="5" applyFont="1" applyFill="1" applyBorder="1" applyAlignment="1">
      <alignment horizontal="center" vertical="center"/>
    </xf>
    <xf numFmtId="176" fontId="49" fillId="4" borderId="2" xfId="6" applyFont="1" applyFill="1" applyBorder="1" applyAlignment="1">
      <alignment horizontal="center" vertical="center"/>
    </xf>
    <xf numFmtId="176" fontId="16" fillId="4" borderId="2" xfId="6" applyFont="1" applyFill="1" applyBorder="1" applyAlignment="1">
      <alignment horizontal="center" vertical="center"/>
    </xf>
    <xf numFmtId="178" fontId="49" fillId="4" borderId="2" xfId="6" applyNumberFormat="1" applyFont="1" applyFill="1" applyBorder="1" applyAlignment="1">
      <alignment horizontal="center" vertical="center"/>
    </xf>
    <xf numFmtId="177" fontId="49" fillId="4" borderId="2" xfId="5" applyNumberFormat="1" applyFont="1" applyFill="1" applyBorder="1" applyAlignment="1">
      <alignment horizontal="center" vertical="center"/>
    </xf>
    <xf numFmtId="3" fontId="23" fillId="0" borderId="4" xfId="2" applyNumberFormat="1" applyFont="1" applyFill="1" applyBorder="1" applyAlignment="1">
      <alignment horizontal="center" vertical="center"/>
    </xf>
    <xf numFmtId="3" fontId="23" fillId="0" borderId="4" xfId="4" applyNumberFormat="1" applyFont="1" applyFill="1" applyBorder="1" applyAlignment="1">
      <alignment horizontal="center" vertical="center"/>
    </xf>
    <xf numFmtId="3" fontId="24" fillId="0" borderId="4" xfId="4" applyNumberFormat="1" applyFont="1" applyFill="1" applyBorder="1" applyAlignment="1">
      <alignment horizontal="center" vertical="center"/>
    </xf>
    <xf numFmtId="41" fontId="23" fillId="0" borderId="5" xfId="1" applyFont="1" applyFill="1" applyBorder="1" applyAlignment="1">
      <alignment horizontal="center" vertical="center"/>
    </xf>
    <xf numFmtId="41" fontId="24" fillId="0" borderId="5" xfId="1" applyFont="1" applyFill="1" applyBorder="1" applyAlignment="1">
      <alignment horizontal="center" vertical="center"/>
    </xf>
    <xf numFmtId="41" fontId="49" fillId="0" borderId="1" xfId="2" applyNumberFormat="1" applyFont="1" applyBorder="1" applyAlignment="1">
      <alignment vertical="top"/>
    </xf>
    <xf numFmtId="3" fontId="49" fillId="0" borderId="1" xfId="2" applyNumberFormat="1" applyFont="1" applyBorder="1" applyAlignment="1">
      <alignment horizontal="center" vertical="top"/>
    </xf>
    <xf numFmtId="0" fontId="49" fillId="0" borderId="1" xfId="2" applyFont="1" applyBorder="1" applyAlignment="1">
      <alignment vertical="top"/>
    </xf>
    <xf numFmtId="41" fontId="67" fillId="0" borderId="1" xfId="1" applyFont="1" applyBorder="1" applyAlignment="1">
      <alignment horizontal="center" vertical="center"/>
    </xf>
    <xf numFmtId="0" fontId="67" fillId="0" borderId="1" xfId="0" applyFont="1" applyBorder="1" applyAlignment="1">
      <alignment horizontal="center" vertical="center"/>
    </xf>
    <xf numFmtId="0" fontId="68" fillId="0" borderId="1" xfId="0" applyFont="1" applyBorder="1" applyAlignment="1">
      <alignment horizontal="center" vertical="center"/>
    </xf>
    <xf numFmtId="41" fontId="67" fillId="0" borderId="1" xfId="0" applyNumberFormat="1" applyFont="1" applyBorder="1" applyAlignment="1">
      <alignment horizontal="center" vertical="center"/>
    </xf>
    <xf numFmtId="179" fontId="68" fillId="0" borderId="1" xfId="17" applyNumberFormat="1" applyFont="1" applyBorder="1" applyAlignment="1">
      <alignment horizontal="center" vertical="center"/>
    </xf>
    <xf numFmtId="0" fontId="67" fillId="0" borderId="0" xfId="0" applyFont="1" applyAlignment="1">
      <alignment horizontal="center" vertical="center"/>
    </xf>
    <xf numFmtId="49" fontId="69" fillId="0" borderId="0" xfId="0" applyNumberFormat="1" applyFont="1" applyAlignment="1">
      <alignment horizontal="center" vertical="center"/>
    </xf>
    <xf numFmtId="41" fontId="69" fillId="0" borderId="0" xfId="1" applyFont="1">
      <alignment vertical="center"/>
    </xf>
    <xf numFmtId="0" fontId="69" fillId="0" borderId="0" xfId="0" applyFont="1" applyAlignment="1">
      <alignment vertical="center"/>
    </xf>
    <xf numFmtId="0" fontId="70" fillId="0" borderId="0" xfId="0" applyFont="1" applyAlignment="1">
      <alignment vertical="center"/>
    </xf>
    <xf numFmtId="0" fontId="69" fillId="0" borderId="0" xfId="0" applyFont="1" applyAlignment="1">
      <alignment horizontal="center" vertical="center"/>
    </xf>
    <xf numFmtId="41" fontId="69" fillId="0" borderId="0" xfId="1" applyFont="1" applyAlignment="1">
      <alignment horizontal="center" vertical="center"/>
    </xf>
    <xf numFmtId="0" fontId="70" fillId="0" borderId="0" xfId="0" applyFont="1" applyAlignment="1">
      <alignment horizontal="center" vertical="center"/>
    </xf>
    <xf numFmtId="41" fontId="69" fillId="0" borderId="0" xfId="0" applyNumberFormat="1" applyFont="1" applyAlignment="1">
      <alignment vertical="center"/>
    </xf>
    <xf numFmtId="179" fontId="71" fillId="0" borderId="0" xfId="17" applyNumberFormat="1" applyFont="1">
      <alignment vertical="center"/>
    </xf>
    <xf numFmtId="41" fontId="67" fillId="0" borderId="0" xfId="0" applyNumberFormat="1" applyFont="1" applyAlignment="1">
      <alignment vertical="center"/>
    </xf>
    <xf numFmtId="49" fontId="67" fillId="0" borderId="0" xfId="0" applyNumberFormat="1" applyFont="1" applyAlignment="1">
      <alignment vertical="center"/>
    </xf>
    <xf numFmtId="41" fontId="67" fillId="0" borderId="0" xfId="1" applyFont="1">
      <alignment vertical="center"/>
    </xf>
    <xf numFmtId="179" fontId="72" fillId="0" borderId="0" xfId="17" applyNumberFormat="1" applyFont="1">
      <alignment vertical="center"/>
    </xf>
    <xf numFmtId="179" fontId="70" fillId="0" borderId="0" xfId="17" applyNumberFormat="1" applyFont="1">
      <alignment vertical="center"/>
    </xf>
    <xf numFmtId="0" fontId="67" fillId="10" borderId="1" xfId="0" applyFont="1" applyFill="1" applyBorder="1" applyAlignment="1">
      <alignment horizontal="center" vertical="center"/>
    </xf>
    <xf numFmtId="41" fontId="67" fillId="10" borderId="1" xfId="0" applyNumberFormat="1" applyFont="1" applyFill="1" applyBorder="1" applyAlignment="1">
      <alignment horizontal="center" vertical="center"/>
    </xf>
    <xf numFmtId="0" fontId="34" fillId="5" borderId="0" xfId="50" applyFont="1" applyFill="1">
      <alignment vertical="center"/>
    </xf>
    <xf numFmtId="176" fontId="16" fillId="5" borderId="0" xfId="50" applyNumberFormat="1" applyFont="1" applyFill="1" applyBorder="1" applyAlignment="1">
      <alignment horizontal="center" vertical="center"/>
    </xf>
    <xf numFmtId="41" fontId="23" fillId="5" borderId="0" xfId="51" applyFont="1" applyFill="1" applyBorder="1" applyAlignment="1">
      <alignment vertical="center"/>
    </xf>
    <xf numFmtId="176" fontId="16" fillId="6" borderId="0" xfId="50" applyNumberFormat="1" applyFont="1" applyFill="1" applyBorder="1" applyAlignment="1">
      <alignment horizontal="center" vertical="center"/>
    </xf>
    <xf numFmtId="176" fontId="16" fillId="7" borderId="0" xfId="50" applyNumberFormat="1" applyFont="1" applyFill="1" applyBorder="1" applyAlignment="1">
      <alignment horizontal="center" vertical="center"/>
    </xf>
    <xf numFmtId="176" fontId="16" fillId="8" borderId="0" xfId="50" applyNumberFormat="1" applyFont="1" applyFill="1" applyBorder="1" applyAlignment="1">
      <alignment horizontal="center" vertical="center"/>
    </xf>
    <xf numFmtId="177" fontId="17" fillId="0" borderId="0" xfId="51" applyNumberFormat="1" applyFont="1" applyFill="1" applyBorder="1" applyAlignment="1">
      <alignment horizontal="right" vertical="center"/>
    </xf>
    <xf numFmtId="0" fontId="35" fillId="5" borderId="0" xfId="50" applyFont="1" applyFill="1">
      <alignment vertical="center"/>
    </xf>
    <xf numFmtId="41" fontId="20" fillId="4" borderId="2" xfId="51" applyFont="1" applyFill="1" applyBorder="1" applyAlignment="1">
      <alignment horizontal="center" vertical="center"/>
    </xf>
    <xf numFmtId="177" fontId="20" fillId="4" borderId="2" xfId="51" applyNumberFormat="1" applyFont="1" applyFill="1" applyBorder="1" applyAlignment="1">
      <alignment horizontal="center" vertical="center"/>
    </xf>
    <xf numFmtId="3" fontId="23" fillId="0" borderId="3" xfId="50" applyNumberFormat="1" applyFont="1" applyFill="1" applyBorder="1" applyAlignment="1">
      <alignment horizontal="center" vertical="center"/>
    </xf>
    <xf numFmtId="41" fontId="23" fillId="0" borderId="4" xfId="51" applyFont="1" applyFill="1" applyBorder="1" applyAlignment="1">
      <alignment vertical="center"/>
    </xf>
    <xf numFmtId="3" fontId="24" fillId="0" borderId="3" xfId="50" applyNumberFormat="1" applyFont="1" applyFill="1" applyBorder="1" applyAlignment="1">
      <alignment horizontal="center" vertical="center"/>
    </xf>
    <xf numFmtId="41" fontId="23" fillId="0" borderId="3" xfId="51" applyFont="1" applyFill="1" applyBorder="1" applyAlignment="1">
      <alignment vertical="center"/>
    </xf>
    <xf numFmtId="3" fontId="23" fillId="0" borderId="4" xfId="50" applyNumberFormat="1" applyFont="1" applyFill="1" applyBorder="1" applyAlignment="1">
      <alignment vertical="center"/>
    </xf>
    <xf numFmtId="179" fontId="23" fillId="0" borderId="4" xfId="52" applyNumberFormat="1" applyFont="1" applyFill="1" applyBorder="1" applyAlignment="1">
      <alignment vertical="center"/>
    </xf>
    <xf numFmtId="10" fontId="23" fillId="7" borderId="4" xfId="52" applyNumberFormat="1" applyFont="1" applyFill="1" applyBorder="1" applyAlignment="1">
      <alignment vertical="center"/>
    </xf>
    <xf numFmtId="178" fontId="23" fillId="0" borderId="4" xfId="53" applyNumberFormat="1" applyFont="1" applyFill="1" applyBorder="1" applyAlignment="1">
      <alignment vertical="center"/>
    </xf>
    <xf numFmtId="177" fontId="23" fillId="0" borderId="4" xfId="51" applyNumberFormat="1" applyFont="1" applyFill="1" applyBorder="1" applyAlignment="1">
      <alignment vertical="center"/>
    </xf>
    <xf numFmtId="177" fontId="23" fillId="0" borderId="4" xfId="51" applyNumberFormat="1" applyFont="1" applyFill="1" applyBorder="1" applyAlignment="1">
      <alignment horizontal="center" vertical="center"/>
    </xf>
    <xf numFmtId="41" fontId="34" fillId="5" borderId="0" xfId="51" applyFont="1" applyFill="1">
      <alignment vertical="center"/>
    </xf>
    <xf numFmtId="41" fontId="34" fillId="5" borderId="0" xfId="50" applyNumberFormat="1" applyFont="1" applyFill="1">
      <alignment vertical="center"/>
    </xf>
    <xf numFmtId="14" fontId="34" fillId="5" borderId="0" xfId="50" applyNumberFormat="1" applyFont="1" applyFill="1">
      <alignment vertical="center"/>
    </xf>
    <xf numFmtId="178" fontId="23" fillId="0" borderId="4" xfId="50" applyNumberFormat="1" applyFont="1" applyFill="1" applyBorder="1" applyAlignment="1">
      <alignment vertical="center"/>
    </xf>
    <xf numFmtId="0" fontId="1" fillId="5" borderId="0" xfId="50" applyFill="1">
      <alignment vertical="center"/>
    </xf>
    <xf numFmtId="3" fontId="16" fillId="5" borderId="0" xfId="50" applyNumberFormat="1" applyFont="1" applyFill="1" applyBorder="1" applyAlignment="1">
      <alignment vertical="center"/>
    </xf>
    <xf numFmtId="3" fontId="36" fillId="5" borderId="0" xfId="50" applyNumberFormat="1" applyFont="1" applyFill="1" applyBorder="1" applyAlignment="1">
      <alignment vertical="center"/>
    </xf>
    <xf numFmtId="41" fontId="35" fillId="5" borderId="0" xfId="51" applyFont="1" applyFill="1" applyAlignment="1">
      <alignment horizontal="right" vertical="center"/>
    </xf>
    <xf numFmtId="3" fontId="23" fillId="5" borderId="0" xfId="50" applyNumberFormat="1" applyFont="1" applyFill="1" applyBorder="1" applyAlignment="1">
      <alignment vertical="center"/>
    </xf>
    <xf numFmtId="177" fontId="36" fillId="5" borderId="0" xfId="51" applyNumberFormat="1" applyFont="1" applyFill="1" applyBorder="1" applyAlignment="1">
      <alignment vertical="center"/>
    </xf>
    <xf numFmtId="0" fontId="37" fillId="5" borderId="0" xfId="50" applyFont="1" applyFill="1" applyAlignment="1">
      <alignment horizontal="center" vertical="center"/>
    </xf>
    <xf numFmtId="0" fontId="37" fillId="5" borderId="0" xfId="50" applyFont="1" applyFill="1">
      <alignment vertical="center"/>
    </xf>
    <xf numFmtId="41" fontId="37" fillId="5" borderId="0" xfId="51" applyFont="1" applyFill="1" applyAlignment="1">
      <alignment horizontal="right" vertical="center"/>
    </xf>
    <xf numFmtId="41" fontId="23" fillId="9" borderId="0" xfId="51" applyFont="1" applyFill="1" applyAlignment="1">
      <alignment horizontal="right" vertical="center"/>
    </xf>
    <xf numFmtId="177" fontId="37" fillId="5" borderId="0" xfId="51" applyNumberFormat="1" applyFont="1" applyFill="1" applyAlignment="1">
      <alignment horizontal="right" vertical="center"/>
    </xf>
    <xf numFmtId="176" fontId="37" fillId="5" borderId="0" xfId="50" applyNumberFormat="1" applyFont="1" applyFill="1" applyBorder="1" applyAlignment="1"/>
    <xf numFmtId="177" fontId="37" fillId="5" borderId="0" xfId="51" applyNumberFormat="1" applyFont="1" applyFill="1" applyBorder="1" applyAlignment="1"/>
    <xf numFmtId="41" fontId="34" fillId="0" borderId="0" xfId="51" applyFont="1" applyFill="1">
      <alignment vertical="center"/>
    </xf>
    <xf numFmtId="41" fontId="37" fillId="5" borderId="0" xfId="50" applyNumberFormat="1" applyFont="1" applyFill="1">
      <alignment vertical="center"/>
    </xf>
    <xf numFmtId="0" fontId="34" fillId="5" borderId="7" xfId="50" applyFont="1" applyFill="1" applyBorder="1">
      <alignment vertical="center"/>
    </xf>
    <xf numFmtId="0" fontId="34" fillId="5" borderId="8" xfId="50" applyFont="1" applyFill="1" applyBorder="1">
      <alignment vertical="center"/>
    </xf>
    <xf numFmtId="41" fontId="34" fillId="5" borderId="9" xfId="51" applyFont="1" applyFill="1" applyBorder="1">
      <alignment vertical="center"/>
    </xf>
    <xf numFmtId="0" fontId="56" fillId="5" borderId="0" xfId="50" applyFont="1" applyFill="1">
      <alignment vertical="center"/>
    </xf>
    <xf numFmtId="0" fontId="34" fillId="5" borderId="0" xfId="51" applyNumberFormat="1" applyFont="1" applyFill="1">
      <alignment vertical="center"/>
    </xf>
    <xf numFmtId="0" fontId="34" fillId="5" borderId="0" xfId="50" applyFont="1" applyFill="1" applyAlignment="1">
      <alignment horizontal="center" vertical="center"/>
    </xf>
    <xf numFmtId="0" fontId="39" fillId="5" borderId="0" xfId="50" applyFont="1" applyFill="1">
      <alignment vertical="center"/>
    </xf>
    <xf numFmtId="0" fontId="34" fillId="5" borderId="10" xfId="50" applyFont="1" applyFill="1" applyBorder="1">
      <alignment vertical="center"/>
    </xf>
    <xf numFmtId="0" fontId="34" fillId="5" borderId="0" xfId="50" applyFont="1" applyFill="1" applyBorder="1">
      <alignment vertical="center"/>
    </xf>
    <xf numFmtId="41" fontId="34" fillId="5" borderId="11" xfId="51" applyFont="1" applyFill="1" applyBorder="1">
      <alignment vertical="center"/>
    </xf>
    <xf numFmtId="0" fontId="40" fillId="5" borderId="0" xfId="50" applyFont="1" applyFill="1">
      <alignment vertical="center"/>
    </xf>
    <xf numFmtId="0" fontId="34" fillId="5" borderId="0" xfId="50" quotePrefix="1" applyFont="1" applyFill="1">
      <alignment vertical="center"/>
    </xf>
    <xf numFmtId="0" fontId="56" fillId="5" borderId="10" xfId="50" applyFont="1" applyFill="1" applyBorder="1">
      <alignment vertical="center"/>
    </xf>
    <xf numFmtId="0" fontId="56" fillId="5" borderId="0" xfId="50" applyFont="1" applyFill="1" applyBorder="1">
      <alignment vertical="center"/>
    </xf>
    <xf numFmtId="0" fontId="40" fillId="5" borderId="10" xfId="50" applyFont="1" applyFill="1" applyBorder="1">
      <alignment vertical="center"/>
    </xf>
    <xf numFmtId="177" fontId="34" fillId="5" borderId="0" xfId="51" applyNumberFormat="1" applyFont="1" applyFill="1">
      <alignment vertical="center"/>
    </xf>
    <xf numFmtId="41" fontId="34" fillId="5" borderId="0" xfId="51" quotePrefix="1" applyFont="1" applyFill="1">
      <alignment vertical="center"/>
    </xf>
    <xf numFmtId="177" fontId="41" fillId="5" borderId="0" xfId="51" applyNumberFormat="1" applyFont="1" applyFill="1">
      <alignment vertical="center"/>
    </xf>
    <xf numFmtId="0" fontId="34" fillId="0" borderId="0" xfId="50" applyFont="1" applyFill="1">
      <alignment vertical="center"/>
    </xf>
    <xf numFmtId="0" fontId="34" fillId="5" borderId="1" xfId="50" applyFont="1" applyFill="1" applyBorder="1" applyAlignment="1">
      <alignment horizontal="center" vertical="center"/>
    </xf>
    <xf numFmtId="0" fontId="34" fillId="5" borderId="12" xfId="50" applyFont="1" applyFill="1" applyBorder="1">
      <alignment vertical="center"/>
    </xf>
    <xf numFmtId="0" fontId="34" fillId="5" borderId="6" xfId="50" applyFont="1" applyFill="1" applyBorder="1">
      <alignment vertical="center"/>
    </xf>
    <xf numFmtId="41" fontId="34" fillId="5" borderId="13" xfId="51" applyFont="1" applyFill="1" applyBorder="1">
      <alignment vertical="center"/>
    </xf>
    <xf numFmtId="0" fontId="43" fillId="5" borderId="1" xfId="50" applyFont="1" applyFill="1" applyBorder="1" applyAlignment="1">
      <alignment horizontal="center" vertical="center"/>
    </xf>
    <xf numFmtId="0" fontId="34" fillId="5" borderId="10" xfId="50" applyFont="1" applyFill="1" applyBorder="1" applyAlignment="1">
      <alignment horizontal="left" vertical="center"/>
    </xf>
    <xf numFmtId="0" fontId="29" fillId="5" borderId="10" xfId="53" applyFont="1" applyFill="1" applyBorder="1">
      <alignment vertical="center"/>
    </xf>
    <xf numFmtId="0" fontId="73" fillId="7" borderId="10" xfId="18" applyFont="1" applyFill="1" applyBorder="1" applyAlignment="1">
      <alignment vertical="top"/>
    </xf>
    <xf numFmtId="14" fontId="73" fillId="7" borderId="0" xfId="18" quotePrefix="1" applyNumberFormat="1" applyFont="1" applyFill="1" applyBorder="1" applyAlignment="1">
      <alignment horizontal="left" vertical="top"/>
    </xf>
    <xf numFmtId="0" fontId="73" fillId="0" borderId="0" xfId="18" applyFont="1" applyBorder="1" applyAlignment="1">
      <alignment vertical="top"/>
    </xf>
    <xf numFmtId="0" fontId="73" fillId="0" borderId="10" xfId="18" applyFont="1" applyBorder="1" applyAlignment="1">
      <alignment vertical="top"/>
    </xf>
    <xf numFmtId="14" fontId="73" fillId="0" borderId="0" xfId="18" quotePrefix="1" applyNumberFormat="1" applyFont="1" applyBorder="1" applyAlignment="1">
      <alignment vertical="top"/>
    </xf>
    <xf numFmtId="184" fontId="34" fillId="5" borderId="0" xfId="51" applyNumberFormat="1" applyFont="1" applyFill="1">
      <alignment vertical="center"/>
    </xf>
    <xf numFmtId="43" fontId="34" fillId="5" borderId="0" xfId="50" applyNumberFormat="1" applyFont="1" applyFill="1">
      <alignment vertical="center"/>
    </xf>
    <xf numFmtId="176" fontId="16" fillId="5" borderId="0" xfId="53" applyNumberFormat="1" applyFont="1" applyFill="1" applyBorder="1" applyAlignment="1">
      <alignment horizontal="center" vertical="center"/>
    </xf>
    <xf numFmtId="176" fontId="16" fillId="6" borderId="0" xfId="53" applyNumberFormat="1" applyFont="1" applyFill="1" applyBorder="1" applyAlignment="1">
      <alignment horizontal="center" vertical="center"/>
    </xf>
    <xf numFmtId="176" fontId="16" fillId="7" borderId="0" xfId="53" applyNumberFormat="1" applyFont="1" applyFill="1" applyBorder="1" applyAlignment="1">
      <alignment horizontal="center" vertical="center"/>
    </xf>
    <xf numFmtId="176" fontId="16" fillId="8" borderId="0" xfId="53" applyNumberFormat="1" applyFont="1" applyFill="1" applyBorder="1" applyAlignment="1">
      <alignment horizontal="center" vertical="center"/>
    </xf>
    <xf numFmtId="0" fontId="34" fillId="5" borderId="0" xfId="53" applyFont="1" applyFill="1">
      <alignment vertical="center"/>
    </xf>
    <xf numFmtId="3" fontId="23" fillId="0" borderId="3" xfId="53" applyNumberFormat="1" applyFont="1" applyFill="1" applyBorder="1" applyAlignment="1">
      <alignment horizontal="center" vertical="center"/>
    </xf>
    <xf numFmtId="3" fontId="24" fillId="0" borderId="3" xfId="53" applyNumberFormat="1" applyFont="1" applyFill="1" applyBorder="1" applyAlignment="1">
      <alignment horizontal="center" vertical="center"/>
    </xf>
    <xf numFmtId="3" fontId="23" fillId="0" borderId="4" xfId="53" applyNumberFormat="1" applyFont="1" applyFill="1" applyBorder="1" applyAlignment="1">
      <alignment vertical="center"/>
    </xf>
    <xf numFmtId="182" fontId="9" fillId="0" borderId="0" xfId="23" applyNumberFormat="1" applyAlignment="1">
      <alignment vertical="top"/>
    </xf>
    <xf numFmtId="10" fontId="9" fillId="0" borderId="0" xfId="23" applyNumberFormat="1" applyFont="1" applyAlignment="1">
      <alignment vertical="top"/>
    </xf>
    <xf numFmtId="0" fontId="34" fillId="5" borderId="7" xfId="53" applyFont="1" applyFill="1" applyBorder="1">
      <alignment vertical="center"/>
    </xf>
    <xf numFmtId="0" fontId="47" fillId="0" borderId="8" xfId="18" applyFont="1" applyBorder="1" applyAlignment="1">
      <alignment vertical="top"/>
    </xf>
    <xf numFmtId="0" fontId="45" fillId="0" borderId="7" xfId="18" applyFont="1" applyBorder="1" applyAlignment="1">
      <alignment vertical="top"/>
    </xf>
    <xf numFmtId="0" fontId="44" fillId="0" borderId="9" xfId="18" applyFont="1" applyBorder="1" applyAlignment="1">
      <alignment vertical="top"/>
    </xf>
    <xf numFmtId="0" fontId="47" fillId="0" borderId="10" xfId="18" applyFont="1" applyBorder="1" applyAlignment="1">
      <alignment vertical="top"/>
    </xf>
    <xf numFmtId="0" fontId="45" fillId="0" borderId="0" xfId="18" applyFont="1" applyBorder="1" applyAlignment="1">
      <alignment vertical="top"/>
    </xf>
    <xf numFmtId="0" fontId="44" fillId="0" borderId="0" xfId="18" applyFont="1" applyBorder="1" applyAlignment="1">
      <alignment horizontal="right"/>
    </xf>
    <xf numFmtId="0" fontId="44" fillId="0" borderId="11" xfId="18" applyFont="1" applyBorder="1" applyAlignment="1">
      <alignment vertical="top"/>
    </xf>
    <xf numFmtId="0" fontId="45" fillId="0" borderId="0" xfId="18" applyFont="1" applyBorder="1" applyAlignment="1">
      <alignment vertical="center"/>
    </xf>
    <xf numFmtId="0" fontId="49" fillId="0" borderId="1" xfId="18" applyFont="1" applyBorder="1" applyAlignment="1">
      <alignment horizontal="center" vertical="center"/>
    </xf>
    <xf numFmtId="0" fontId="44" fillId="0" borderId="1" xfId="18" applyFont="1" applyBorder="1" applyAlignment="1">
      <alignment horizontal="center" vertical="center"/>
    </xf>
    <xf numFmtId="41" fontId="44" fillId="0" borderId="1" xfId="22" applyFont="1" applyBorder="1" applyAlignment="1">
      <alignment horizontal="center" vertical="center"/>
    </xf>
    <xf numFmtId="0" fontId="50" fillId="0" borderId="1" xfId="18" applyFont="1" applyBorder="1" applyAlignment="1">
      <alignment horizontal="center" vertical="center"/>
    </xf>
    <xf numFmtId="0" fontId="44" fillId="0" borderId="13" xfId="18" applyFont="1" applyBorder="1" applyAlignment="1">
      <alignment vertical="top"/>
    </xf>
    <xf numFmtId="0" fontId="9" fillId="0" borderId="0" xfId="18" applyFont="1" applyBorder="1" applyAlignment="1">
      <alignment vertical="top"/>
    </xf>
    <xf numFmtId="0" fontId="44" fillId="7" borderId="10" xfId="18" applyFont="1" applyFill="1" applyBorder="1" applyAlignment="1">
      <alignment vertical="top"/>
    </xf>
    <xf numFmtId="14" fontId="44" fillId="7" borderId="0" xfId="18" quotePrefix="1" applyNumberFormat="1" applyFont="1" applyFill="1" applyBorder="1" applyAlignment="1">
      <alignment horizontal="left" vertical="top"/>
    </xf>
    <xf numFmtId="0" fontId="34" fillId="5" borderId="0" xfId="53" applyFont="1" applyFill="1" applyBorder="1" applyAlignment="1">
      <alignment horizontal="left" vertical="center"/>
    </xf>
    <xf numFmtId="41" fontId="16" fillId="5" borderId="0" xfId="54" applyFont="1" applyFill="1" applyBorder="1" applyAlignment="1">
      <alignment horizontal="center" vertical="center"/>
    </xf>
    <xf numFmtId="177" fontId="17" fillId="0" borderId="0" xfId="54" applyNumberFormat="1" applyFont="1" applyFill="1" applyBorder="1" applyAlignment="1">
      <alignment horizontal="right" vertical="center"/>
    </xf>
    <xf numFmtId="41" fontId="20" fillId="4" borderId="2" xfId="54" applyFont="1" applyFill="1" applyBorder="1" applyAlignment="1">
      <alignment horizontal="center" vertical="center"/>
    </xf>
    <xf numFmtId="177" fontId="20" fillId="4" borderId="2" xfId="54" applyNumberFormat="1" applyFont="1" applyFill="1" applyBorder="1" applyAlignment="1">
      <alignment horizontal="center" vertical="center"/>
    </xf>
    <xf numFmtId="41" fontId="23" fillId="0" borderId="4" xfId="54" applyFont="1" applyFill="1" applyBorder="1" applyAlignment="1">
      <alignment vertical="center"/>
    </xf>
    <xf numFmtId="41" fontId="23" fillId="0" borderId="3" xfId="54" applyFont="1" applyFill="1" applyBorder="1" applyAlignment="1">
      <alignment vertical="center"/>
    </xf>
    <xf numFmtId="179" fontId="23" fillId="0" borderId="4" xfId="55" applyNumberFormat="1" applyFont="1" applyFill="1" applyBorder="1" applyAlignment="1">
      <alignment vertical="center"/>
    </xf>
    <xf numFmtId="10" fontId="23" fillId="0" borderId="4" xfId="55" applyNumberFormat="1" applyFont="1" applyFill="1" applyBorder="1" applyAlignment="1">
      <alignment vertical="center"/>
    </xf>
    <xf numFmtId="177" fontId="23" fillId="0" borderId="4" xfId="54" applyNumberFormat="1" applyFont="1" applyFill="1" applyBorder="1" applyAlignment="1">
      <alignment vertical="center"/>
    </xf>
    <xf numFmtId="177" fontId="23" fillId="0" borderId="4" xfId="54" applyNumberFormat="1" applyFont="1" applyFill="1" applyBorder="1" applyAlignment="1">
      <alignment horizontal="center" vertical="center"/>
    </xf>
    <xf numFmtId="41" fontId="23" fillId="9" borderId="0" xfId="54" applyFont="1" applyFill="1" applyAlignment="1">
      <alignment horizontal="right" vertical="center"/>
    </xf>
    <xf numFmtId="0" fontId="34" fillId="5" borderId="10" xfId="53" applyFont="1" applyFill="1" applyBorder="1">
      <alignment vertical="center"/>
    </xf>
    <xf numFmtId="0" fontId="45" fillId="5" borderId="0" xfId="53" applyFont="1" applyFill="1" applyBorder="1" applyAlignment="1">
      <alignment horizontal="left" vertical="center"/>
    </xf>
    <xf numFmtId="0" fontId="34" fillId="5" borderId="0" xfId="54" applyNumberFormat="1" applyFont="1" applyFill="1" applyBorder="1">
      <alignment vertical="center"/>
    </xf>
    <xf numFmtId="41" fontId="20" fillId="4" borderId="2" xfId="22" applyFont="1" applyFill="1" applyBorder="1" applyAlignment="1">
      <alignment horizontal="center" vertical="center"/>
    </xf>
    <xf numFmtId="177" fontId="20" fillId="4" borderId="2" xfId="22" applyNumberFormat="1" applyFont="1" applyFill="1" applyBorder="1" applyAlignment="1">
      <alignment horizontal="center" vertical="center"/>
    </xf>
    <xf numFmtId="3" fontId="23" fillId="0" borderId="3" xfId="18" applyNumberFormat="1" applyFont="1" applyFill="1" applyBorder="1" applyAlignment="1">
      <alignment horizontal="left" vertical="center"/>
    </xf>
    <xf numFmtId="3" fontId="23" fillId="0" borderId="3" xfId="18" applyNumberFormat="1" applyFont="1" applyFill="1" applyBorder="1" applyAlignment="1">
      <alignment horizontal="center" vertical="center"/>
    </xf>
    <xf numFmtId="41" fontId="23" fillId="0" borderId="4" xfId="22" applyFont="1" applyFill="1" applyBorder="1" applyAlignment="1">
      <alignment vertical="center"/>
    </xf>
    <xf numFmtId="41" fontId="23" fillId="0" borderId="3" xfId="22" applyFont="1" applyFill="1" applyBorder="1" applyAlignment="1">
      <alignment vertical="center"/>
    </xf>
    <xf numFmtId="3" fontId="23" fillId="2" borderId="4" xfId="18" applyNumberFormat="1" applyFont="1" applyFill="1" applyBorder="1" applyAlignment="1">
      <alignment vertical="center"/>
    </xf>
    <xf numFmtId="179" fontId="23" fillId="0" borderId="4" xfId="23" applyNumberFormat="1" applyFont="1" applyFill="1" applyBorder="1" applyAlignment="1">
      <alignment vertical="center"/>
    </xf>
    <xf numFmtId="3" fontId="23" fillId="0" borderId="4" xfId="18" applyNumberFormat="1" applyFont="1" applyFill="1" applyBorder="1" applyAlignment="1">
      <alignment vertical="center"/>
    </xf>
    <xf numFmtId="177" fontId="23" fillId="0" borderId="4" xfId="22" applyNumberFormat="1" applyFont="1" applyFill="1" applyBorder="1" applyAlignment="1">
      <alignment vertical="center"/>
    </xf>
    <xf numFmtId="0" fontId="23" fillId="0" borderId="4" xfId="22" quotePrefix="1" applyNumberFormat="1" applyFont="1" applyFill="1" applyBorder="1" applyAlignment="1">
      <alignment horizontal="left" vertical="center" wrapText="1"/>
    </xf>
    <xf numFmtId="41" fontId="9" fillId="0" borderId="0" xfId="22" applyAlignment="1">
      <alignment vertical="top"/>
    </xf>
    <xf numFmtId="0" fontId="54" fillId="0" borderId="0" xfId="18" applyFont="1" applyAlignment="1">
      <alignment vertical="top"/>
    </xf>
    <xf numFmtId="0" fontId="55" fillId="0" borderId="0" xfId="18" applyFont="1" applyAlignment="1">
      <alignment vertical="top"/>
    </xf>
    <xf numFmtId="0" fontId="9" fillId="0" borderId="7" xfId="18" applyBorder="1" applyAlignment="1">
      <alignment vertical="top"/>
    </xf>
    <xf numFmtId="0" fontId="53" fillId="0" borderId="1" xfId="18" applyFont="1" applyBorder="1" applyAlignment="1">
      <alignment horizontal="center" vertical="center"/>
    </xf>
    <xf numFmtId="0" fontId="9" fillId="0" borderId="1" xfId="18" applyBorder="1" applyAlignment="1">
      <alignment horizontal="center" vertical="center"/>
    </xf>
    <xf numFmtId="0" fontId="9" fillId="0" borderId="1" xfId="18" quotePrefix="1" applyBorder="1" applyAlignment="1">
      <alignment vertical="center" wrapText="1"/>
    </xf>
    <xf numFmtId="0" fontId="9" fillId="0" borderId="1" xfId="18" applyBorder="1" applyAlignment="1">
      <alignment vertical="center" wrapText="1"/>
    </xf>
    <xf numFmtId="0" fontId="11" fillId="0" borderId="1" xfId="18" applyFont="1" applyBorder="1" applyAlignment="1">
      <alignment horizontal="center" vertical="center"/>
    </xf>
    <xf numFmtId="0" fontId="9" fillId="0" borderId="1" xfId="18" applyBorder="1" applyAlignment="1">
      <alignment horizontal="center" vertical="center" wrapText="1"/>
    </xf>
    <xf numFmtId="0" fontId="9" fillId="0" borderId="1" xfId="18" applyBorder="1" applyAlignment="1">
      <alignment vertical="center"/>
    </xf>
    <xf numFmtId="0" fontId="14" fillId="0" borderId="1" xfId="18" applyFont="1" applyBorder="1" applyAlignment="1">
      <alignment horizontal="center" vertical="center" wrapText="1"/>
    </xf>
    <xf numFmtId="14" fontId="9" fillId="2" borderId="0" xfId="18" quotePrefix="1" applyNumberFormat="1" applyFont="1" applyFill="1" applyAlignment="1">
      <alignment vertical="top"/>
    </xf>
    <xf numFmtId="0" fontId="9" fillId="0" borderId="0" xfId="18" quotePrefix="1" applyFont="1" applyAlignment="1">
      <alignment vertical="top"/>
    </xf>
    <xf numFmtId="3" fontId="23" fillId="0" borderId="14" xfId="53" applyNumberFormat="1" applyFont="1" applyFill="1" applyBorder="1" applyAlignment="1">
      <alignment horizontal="center" vertical="center"/>
    </xf>
    <xf numFmtId="41" fontId="23" fillId="0" borderId="14" xfId="54" applyFont="1" applyFill="1" applyBorder="1" applyAlignment="1">
      <alignment vertical="center"/>
    </xf>
    <xf numFmtId="3" fontId="24" fillId="0" borderId="14" xfId="53" applyNumberFormat="1" applyFont="1" applyFill="1" applyBorder="1" applyAlignment="1">
      <alignment horizontal="center" vertical="center"/>
    </xf>
    <xf numFmtId="3" fontId="23" fillId="0" borderId="14" xfId="53" applyNumberFormat="1" applyFont="1" applyFill="1" applyBorder="1" applyAlignment="1">
      <alignment vertical="center"/>
    </xf>
    <xf numFmtId="179" fontId="23" fillId="0" borderId="14" xfId="55" applyNumberFormat="1" applyFont="1" applyFill="1" applyBorder="1" applyAlignment="1">
      <alignment vertical="center"/>
    </xf>
    <xf numFmtId="10" fontId="23" fillId="0" borderId="14" xfId="55" applyNumberFormat="1" applyFont="1" applyFill="1" applyBorder="1" applyAlignment="1">
      <alignment vertical="center"/>
    </xf>
    <xf numFmtId="178" fontId="23" fillId="0" borderId="14" xfId="53" applyNumberFormat="1" applyFont="1" applyFill="1" applyBorder="1" applyAlignment="1">
      <alignment vertical="center"/>
    </xf>
    <xf numFmtId="177" fontId="23" fillId="0" borderId="14" xfId="54" applyNumberFormat="1" applyFont="1" applyFill="1" applyBorder="1" applyAlignment="1">
      <alignment vertical="center"/>
    </xf>
    <xf numFmtId="177" fontId="23" fillId="0" borderId="14" xfId="54" applyNumberFormat="1" applyFont="1" applyFill="1" applyBorder="1" applyAlignment="1">
      <alignment horizontal="center" vertical="center"/>
    </xf>
    <xf numFmtId="177" fontId="23" fillId="9" borderId="0" xfId="54" applyNumberFormat="1" applyFont="1" applyFill="1" applyAlignment="1">
      <alignment horizontal="right" vertical="center"/>
    </xf>
    <xf numFmtId="0" fontId="34" fillId="5" borderId="7" xfId="54" applyNumberFormat="1" applyFont="1" applyFill="1" applyBorder="1">
      <alignment vertical="center"/>
    </xf>
    <xf numFmtId="0" fontId="34" fillId="5" borderId="10" xfId="54" applyNumberFormat="1" applyFont="1" applyFill="1" applyBorder="1">
      <alignment vertical="center"/>
    </xf>
    <xf numFmtId="177" fontId="34" fillId="5" borderId="10" xfId="54" applyNumberFormat="1" applyFont="1" applyFill="1" applyBorder="1">
      <alignment vertical="center"/>
    </xf>
    <xf numFmtId="177" fontId="41" fillId="5" borderId="0" xfId="54" applyNumberFormat="1" applyFont="1" applyFill="1" applyBorder="1">
      <alignment vertical="center"/>
    </xf>
    <xf numFmtId="0" fontId="34" fillId="5" borderId="11" xfId="53" applyFont="1" applyFill="1" applyBorder="1" applyAlignment="1">
      <alignment horizontal="center" vertical="center"/>
    </xf>
    <xf numFmtId="0" fontId="34" fillId="5" borderId="1" xfId="53" applyFont="1" applyFill="1" applyBorder="1" applyAlignment="1">
      <alignment horizontal="center" vertical="center"/>
    </xf>
    <xf numFmtId="9" fontId="34" fillId="5" borderId="1" xfId="53" applyNumberFormat="1" applyFont="1" applyFill="1" applyBorder="1" applyAlignment="1">
      <alignment horizontal="center" vertical="center"/>
    </xf>
    <xf numFmtId="14" fontId="34" fillId="5" borderId="1" xfId="53" applyNumberFormat="1" applyFont="1" applyFill="1" applyBorder="1" applyAlignment="1">
      <alignment horizontal="center" vertical="center"/>
    </xf>
    <xf numFmtId="0" fontId="43" fillId="5" borderId="1" xfId="53" applyFont="1" applyFill="1" applyBorder="1" applyAlignment="1">
      <alignment horizontal="center" vertical="center"/>
    </xf>
    <xf numFmtId="186" fontId="34" fillId="5" borderId="1" xfId="53" applyNumberFormat="1" applyFont="1" applyFill="1" applyBorder="1" applyAlignment="1">
      <alignment horizontal="center" vertical="center"/>
    </xf>
    <xf numFmtId="0" fontId="47" fillId="0" borderId="6" xfId="18" applyFont="1" applyBorder="1" applyAlignment="1">
      <alignment vertical="top"/>
    </xf>
    <xf numFmtId="3" fontId="23" fillId="0" borderId="23" xfId="53" applyNumberFormat="1" applyFont="1" applyFill="1" applyBorder="1" applyAlignment="1">
      <alignment horizontal="center" vertical="center"/>
    </xf>
    <xf numFmtId="41" fontId="23" fillId="0" borderId="5" xfId="54" applyFont="1" applyFill="1" applyBorder="1" applyAlignment="1">
      <alignment vertical="center"/>
    </xf>
    <xf numFmtId="3" fontId="24" fillId="0" borderId="23" xfId="53" applyNumberFormat="1" applyFont="1" applyFill="1" applyBorder="1" applyAlignment="1">
      <alignment horizontal="center" vertical="center"/>
    </xf>
    <xf numFmtId="41" fontId="23" fillId="0" borderId="23" xfId="54" applyFont="1" applyFill="1" applyBorder="1" applyAlignment="1">
      <alignment vertical="center"/>
    </xf>
    <xf numFmtId="3" fontId="23" fillId="0" borderId="5" xfId="53" applyNumberFormat="1" applyFont="1" applyFill="1" applyBorder="1" applyAlignment="1">
      <alignment vertical="center"/>
    </xf>
    <xf numFmtId="179" fontId="44" fillId="0" borderId="5" xfId="55" applyNumberFormat="1" applyFont="1" applyFill="1" applyBorder="1" applyAlignment="1">
      <alignment vertical="center"/>
    </xf>
    <xf numFmtId="10" fontId="23" fillId="7" borderId="5" xfId="55" applyNumberFormat="1" applyFont="1" applyFill="1" applyBorder="1" applyAlignment="1">
      <alignment vertical="center"/>
    </xf>
    <xf numFmtId="3" fontId="23" fillId="8" borderId="5" xfId="53" applyNumberFormat="1" applyFont="1" applyFill="1" applyBorder="1" applyAlignment="1">
      <alignment vertical="center"/>
    </xf>
    <xf numFmtId="178" fontId="23" fillId="0" borderId="5" xfId="53" applyNumberFormat="1" applyFont="1" applyFill="1" applyBorder="1" applyAlignment="1">
      <alignment vertical="center"/>
    </xf>
    <xf numFmtId="177" fontId="23" fillId="0" borderId="5" xfId="54" applyNumberFormat="1" applyFont="1" applyFill="1" applyBorder="1" applyAlignment="1">
      <alignment vertical="center"/>
    </xf>
    <xf numFmtId="177" fontId="23" fillId="0" borderId="5" xfId="54" applyNumberFormat="1" applyFont="1" applyFill="1" applyBorder="1" applyAlignment="1">
      <alignment horizontal="center" vertical="center"/>
    </xf>
    <xf numFmtId="0" fontId="44" fillId="0" borderId="7" xfId="18" applyFont="1" applyBorder="1" applyAlignment="1">
      <alignment vertical="top"/>
    </xf>
    <xf numFmtId="0" fontId="23" fillId="0" borderId="8" xfId="40" applyFont="1" applyBorder="1">
      <alignment vertical="center"/>
    </xf>
    <xf numFmtId="0" fontId="23" fillId="0" borderId="10" xfId="40" applyFont="1" applyBorder="1">
      <alignment vertical="center"/>
    </xf>
    <xf numFmtId="41" fontId="23" fillId="0" borderId="0" xfId="41" applyFont="1">
      <alignment vertical="center"/>
    </xf>
    <xf numFmtId="0" fontId="44" fillId="0" borderId="12" xfId="18" applyFont="1" applyBorder="1" applyAlignment="1">
      <alignment vertical="top"/>
    </xf>
    <xf numFmtId="0" fontId="23" fillId="0" borderId="0" xfId="40" applyFont="1" applyAlignment="1">
      <alignment horizontal="center" vertical="center"/>
    </xf>
    <xf numFmtId="0" fontId="49" fillId="0" borderId="0" xfId="18" applyFont="1" applyAlignment="1">
      <alignment vertical="top"/>
    </xf>
    <xf numFmtId="0" fontId="23" fillId="0" borderId="1" xfId="40" applyFont="1" applyBorder="1" applyAlignment="1">
      <alignment horizontal="center" vertical="center"/>
    </xf>
    <xf numFmtId="41" fontId="23" fillId="0" borderId="1" xfId="41" applyFont="1" applyBorder="1" applyAlignment="1">
      <alignment horizontal="center" vertical="center"/>
    </xf>
    <xf numFmtId="0" fontId="16" fillId="0" borderId="1" xfId="40" applyFont="1" applyBorder="1" applyAlignment="1">
      <alignment horizontal="center" vertical="center"/>
    </xf>
    <xf numFmtId="41" fontId="16" fillId="0" borderId="1" xfId="41" applyFont="1" applyBorder="1" applyAlignment="1">
      <alignment horizontal="center" vertical="center"/>
    </xf>
    <xf numFmtId="41" fontId="23" fillId="0" borderId="1" xfId="41" applyFont="1" applyBorder="1">
      <alignment vertical="center"/>
    </xf>
    <xf numFmtId="41" fontId="16" fillId="0" borderId="1" xfId="41" applyFont="1" applyBorder="1">
      <alignment vertical="center"/>
    </xf>
    <xf numFmtId="0" fontId="16" fillId="0" borderId="1" xfId="40" applyFont="1" applyBorder="1">
      <alignment vertical="center"/>
    </xf>
    <xf numFmtId="0" fontId="49" fillId="0" borderId="24" xfId="18" applyFont="1" applyBorder="1" applyAlignment="1">
      <alignment horizontal="center" vertical="top"/>
    </xf>
    <xf numFmtId="0" fontId="49" fillId="0" borderId="25" xfId="18" applyFont="1" applyBorder="1" applyAlignment="1">
      <alignment horizontal="center" vertical="top"/>
    </xf>
    <xf numFmtId="0" fontId="49" fillId="0" borderId="26" xfId="18" applyFont="1" applyBorder="1" applyAlignment="1">
      <alignment horizontal="center" vertical="top"/>
    </xf>
    <xf numFmtId="41" fontId="49" fillId="0" borderId="24" xfId="41" applyFont="1" applyFill="1" applyBorder="1" applyAlignment="1">
      <alignment horizontal="center" vertical="center"/>
    </xf>
    <xf numFmtId="0" fontId="49" fillId="0" borderId="25" xfId="11" applyFont="1" applyFill="1" applyBorder="1" applyAlignment="1">
      <alignment horizontal="center" vertical="center"/>
    </xf>
    <xf numFmtId="0" fontId="49" fillId="0" borderId="26" xfId="11" applyFont="1" applyFill="1" applyBorder="1" applyAlignment="1">
      <alignment horizontal="center" vertical="center"/>
    </xf>
    <xf numFmtId="0" fontId="49" fillId="0" borderId="27" xfId="40" applyFont="1" applyFill="1" applyBorder="1" applyAlignment="1">
      <alignment horizontal="centerContinuous" vertical="center"/>
    </xf>
    <xf numFmtId="0" fontId="49" fillId="0" borderId="28" xfId="40" applyFont="1" applyFill="1" applyBorder="1" applyAlignment="1">
      <alignment horizontal="centerContinuous" vertical="center"/>
    </xf>
    <xf numFmtId="0" fontId="49" fillId="0" borderId="27" xfId="40" applyFont="1" applyFill="1" applyBorder="1" applyAlignment="1">
      <alignment horizontal="center" vertical="center" wrapText="1"/>
    </xf>
    <xf numFmtId="0" fontId="49" fillId="0" borderId="27" xfId="40" applyFont="1" applyFill="1" applyBorder="1" applyAlignment="1">
      <alignment horizontal="center" vertical="center"/>
    </xf>
    <xf numFmtId="0" fontId="23" fillId="0" borderId="10" xfId="40" applyFont="1" applyBorder="1" applyAlignment="1">
      <alignment horizontal="center" vertical="center"/>
    </xf>
    <xf numFmtId="0" fontId="23" fillId="0" borderId="11" xfId="40" applyFont="1" applyBorder="1" applyAlignment="1">
      <alignment horizontal="left" vertical="center"/>
    </xf>
    <xf numFmtId="41" fontId="59" fillId="0" borderId="10" xfId="42" applyFont="1" applyFill="1" applyBorder="1" applyAlignment="1">
      <alignment horizontal="center" vertical="center"/>
    </xf>
    <xf numFmtId="43" fontId="44" fillId="0" borderId="11" xfId="41" applyNumberFormat="1" applyFont="1" applyFill="1" applyBorder="1" applyAlignment="1">
      <alignment horizontal="center" vertical="center"/>
    </xf>
    <xf numFmtId="41" fontId="59" fillId="0" borderId="29" xfId="13" applyFont="1" applyFill="1" applyBorder="1">
      <alignment vertical="center"/>
    </xf>
    <xf numFmtId="187" fontId="59" fillId="0" borderId="29" xfId="13" applyNumberFormat="1" applyFont="1" applyFill="1" applyBorder="1" applyAlignment="1">
      <alignment horizontal="right" vertical="center"/>
    </xf>
    <xf numFmtId="10" fontId="44" fillId="0" borderId="29" xfId="13" applyNumberFormat="1" applyFont="1" applyFill="1" applyBorder="1" applyAlignment="1">
      <alignment horizontal="right" vertical="center"/>
    </xf>
    <xf numFmtId="180" fontId="31" fillId="0" borderId="0" xfId="41" applyNumberFormat="1" applyFont="1" applyFill="1" applyBorder="1" applyAlignment="1">
      <alignment horizontal="center" vertical="center"/>
    </xf>
    <xf numFmtId="41" fontId="59" fillId="0" borderId="30" xfId="13" quotePrefix="1" applyFont="1" applyFill="1" applyBorder="1" applyAlignment="1">
      <alignment horizontal="left" vertical="center"/>
    </xf>
    <xf numFmtId="0" fontId="59" fillId="0" borderId="30" xfId="40" applyFont="1" applyFill="1" applyBorder="1" applyAlignment="1">
      <alignment horizontal="left" vertical="center"/>
    </xf>
    <xf numFmtId="10" fontId="31" fillId="0" borderId="30" xfId="14" applyNumberFormat="1" applyFont="1" applyFill="1" applyBorder="1">
      <alignment vertical="center"/>
    </xf>
    <xf numFmtId="41" fontId="44" fillId="0" borderId="30" xfId="13" applyFont="1" applyFill="1" applyBorder="1" applyAlignment="1">
      <alignment horizontal="center" vertical="center"/>
    </xf>
    <xf numFmtId="41" fontId="33" fillId="0" borderId="0" xfId="41" applyNumberFormat="1" applyFont="1">
      <alignment vertical="center"/>
    </xf>
    <xf numFmtId="41" fontId="60" fillId="0" borderId="31" xfId="13" quotePrefix="1" applyFont="1" applyFill="1" applyBorder="1" applyAlignment="1">
      <alignment horizontal="left" vertical="center"/>
    </xf>
    <xf numFmtId="0" fontId="60" fillId="0" borderId="31" xfId="40" applyFont="1" applyFill="1" applyBorder="1" applyAlignment="1">
      <alignment horizontal="left" vertical="center"/>
    </xf>
    <xf numFmtId="177" fontId="49" fillId="0" borderId="31" xfId="41" applyNumberFormat="1" applyFont="1" applyFill="1" applyBorder="1" applyAlignment="1">
      <alignment horizontal="right" vertical="center"/>
    </xf>
    <xf numFmtId="181" fontId="60" fillId="0" borderId="31" xfId="13" applyNumberFormat="1" applyFont="1" applyFill="1" applyBorder="1" applyAlignment="1">
      <alignment horizontal="right" vertical="center"/>
    </xf>
    <xf numFmtId="0" fontId="44" fillId="0" borderId="10" xfId="18" applyFont="1" applyBorder="1" applyAlignment="1">
      <alignment horizontal="center" vertical="top"/>
    </xf>
    <xf numFmtId="0" fontId="44" fillId="0" borderId="11" xfId="18" applyFont="1" applyBorder="1" applyAlignment="1">
      <alignment horizontal="left" vertical="top"/>
    </xf>
    <xf numFmtId="0" fontId="16" fillId="0" borderId="12" xfId="40" applyFont="1" applyBorder="1" applyAlignment="1">
      <alignment horizontal="center" vertical="center"/>
    </xf>
    <xf numFmtId="177" fontId="16" fillId="0" borderId="6" xfId="40" applyNumberFormat="1" applyFont="1" applyBorder="1" applyAlignment="1">
      <alignment horizontal="center" vertical="center"/>
    </xf>
    <xf numFmtId="0" fontId="23" fillId="0" borderId="13" xfId="40" applyFont="1" applyBorder="1" applyAlignment="1">
      <alignment horizontal="left" vertical="center"/>
    </xf>
    <xf numFmtId="0" fontId="16" fillId="0" borderId="6" xfId="40" applyFont="1" applyBorder="1" applyAlignment="1">
      <alignment horizontal="center" vertical="center"/>
    </xf>
    <xf numFmtId="43" fontId="16" fillId="0" borderId="13" xfId="40" applyNumberFormat="1" applyFont="1" applyBorder="1" applyAlignment="1">
      <alignment horizontal="center" vertical="center"/>
    </xf>
    <xf numFmtId="0" fontId="16" fillId="0" borderId="7" xfId="40" applyFont="1" applyBorder="1">
      <alignment vertical="center"/>
    </xf>
    <xf numFmtId="0" fontId="23" fillId="0" borderId="9" xfId="40" applyFont="1" applyBorder="1">
      <alignment vertical="center"/>
    </xf>
    <xf numFmtId="0" fontId="23" fillId="0" borderId="11" xfId="40" applyFont="1" applyBorder="1">
      <alignment vertical="center"/>
    </xf>
    <xf numFmtId="0" fontId="23" fillId="0" borderId="12" xfId="40" applyFont="1" applyBorder="1">
      <alignment vertical="center"/>
    </xf>
    <xf numFmtId="0" fontId="23" fillId="0" borderId="13" xfId="40" applyFont="1" applyBorder="1">
      <alignment vertical="center"/>
    </xf>
    <xf numFmtId="43" fontId="23" fillId="0" borderId="1" xfId="40" applyNumberFormat="1" applyFont="1" applyBorder="1">
      <alignment vertical="center"/>
    </xf>
    <xf numFmtId="41" fontId="23" fillId="0" borderId="4" xfId="1" applyFont="1" applyFill="1" applyBorder="1" applyAlignment="1">
      <alignment vertical="center"/>
    </xf>
    <xf numFmtId="180" fontId="23" fillId="0" borderId="4" xfId="1" applyNumberFormat="1" applyFont="1" applyFill="1" applyBorder="1" applyAlignment="1">
      <alignment vertical="center"/>
    </xf>
    <xf numFmtId="179" fontId="23" fillId="0" borderId="4" xfId="17" applyNumberFormat="1" applyFont="1" applyFill="1" applyBorder="1" applyAlignment="1">
      <alignment vertical="center"/>
    </xf>
    <xf numFmtId="176" fontId="16" fillId="0" borderId="0" xfId="4" applyNumberFormat="1" applyFont="1" applyFill="1" applyBorder="1" applyAlignment="1">
      <alignment horizontal="center" vertical="center"/>
    </xf>
    <xf numFmtId="0" fontId="34" fillId="2" borderId="0" xfId="4" applyFont="1" applyFill="1" applyBorder="1">
      <alignment vertical="center"/>
    </xf>
    <xf numFmtId="3" fontId="23" fillId="3" borderId="4" xfId="4" applyNumberFormat="1" applyFont="1" applyFill="1" applyBorder="1" applyAlignment="1">
      <alignment vertical="center"/>
    </xf>
    <xf numFmtId="0" fontId="34" fillId="5" borderId="0" xfId="4" applyFont="1" applyFill="1" applyBorder="1" applyAlignment="1">
      <alignment horizontal="left" vertical="center"/>
    </xf>
    <xf numFmtId="0" fontId="34" fillId="5" borderId="0" xfId="47" applyFont="1" applyFill="1">
      <alignment vertical="center"/>
    </xf>
    <xf numFmtId="41" fontId="34" fillId="5" borderId="0" xfId="48" applyFont="1" applyFill="1">
      <alignment vertical="center"/>
    </xf>
    <xf numFmtId="177" fontId="34" fillId="5" borderId="0" xfId="48" applyNumberFormat="1" applyFont="1" applyFill="1">
      <alignment vertical="center"/>
    </xf>
    <xf numFmtId="0" fontId="34" fillId="5" borderId="0" xfId="47" applyFont="1" applyFill="1" applyAlignment="1">
      <alignment horizontal="center" vertical="center"/>
    </xf>
    <xf numFmtId="176" fontId="16" fillId="5" borderId="0" xfId="47" applyNumberFormat="1" applyFont="1" applyFill="1" applyBorder="1" applyAlignment="1">
      <alignment horizontal="center" vertical="center"/>
    </xf>
    <xf numFmtId="41" fontId="16" fillId="5" borderId="0" xfId="48" applyFont="1" applyFill="1" applyBorder="1" applyAlignment="1">
      <alignment horizontal="center" vertical="center"/>
    </xf>
    <xf numFmtId="176" fontId="16" fillId="6" borderId="0" xfId="47" applyNumberFormat="1" applyFont="1" applyFill="1" applyBorder="1" applyAlignment="1">
      <alignment horizontal="center" vertical="center"/>
    </xf>
    <xf numFmtId="176" fontId="16" fillId="7" borderId="0" xfId="47" applyNumberFormat="1" applyFont="1" applyFill="1" applyBorder="1" applyAlignment="1">
      <alignment horizontal="center" vertical="center"/>
    </xf>
    <xf numFmtId="176" fontId="16" fillId="8" borderId="0" xfId="47" applyNumberFormat="1" applyFont="1" applyFill="1" applyBorder="1" applyAlignment="1">
      <alignment horizontal="center" vertical="center"/>
    </xf>
    <xf numFmtId="177" fontId="17" fillId="0" borderId="0" xfId="48" applyNumberFormat="1" applyFont="1" applyFill="1" applyBorder="1" applyAlignment="1">
      <alignment horizontal="right" vertical="center"/>
    </xf>
    <xf numFmtId="0" fontId="35" fillId="5" borderId="0" xfId="47" applyFont="1" applyFill="1">
      <alignment vertical="center"/>
    </xf>
    <xf numFmtId="41" fontId="20" fillId="4" borderId="2" xfId="48" applyFont="1" applyFill="1" applyBorder="1" applyAlignment="1">
      <alignment horizontal="center" vertical="center"/>
    </xf>
    <xf numFmtId="177" fontId="20" fillId="4" borderId="2" xfId="48" applyNumberFormat="1" applyFont="1" applyFill="1" applyBorder="1" applyAlignment="1">
      <alignment horizontal="center" vertical="center"/>
    </xf>
    <xf numFmtId="3" fontId="23" fillId="0" borderId="3" xfId="47" applyNumberFormat="1" applyFont="1" applyFill="1" applyBorder="1" applyAlignment="1">
      <alignment horizontal="center" vertical="center"/>
    </xf>
    <xf numFmtId="41" fontId="46" fillId="0" borderId="4" xfId="48" applyFont="1" applyFill="1" applyBorder="1" applyAlignment="1">
      <alignment vertical="center"/>
    </xf>
    <xf numFmtId="3" fontId="24" fillId="0" borderId="3" xfId="47" applyNumberFormat="1" applyFont="1" applyFill="1" applyBorder="1" applyAlignment="1">
      <alignment horizontal="center" vertical="center"/>
    </xf>
    <xf numFmtId="41" fontId="23" fillId="0" borderId="3" xfId="48" applyFont="1" applyFill="1" applyBorder="1" applyAlignment="1">
      <alignment vertical="center"/>
    </xf>
    <xf numFmtId="41" fontId="23" fillId="0" borderId="4" xfId="48" applyFont="1" applyFill="1" applyBorder="1" applyAlignment="1">
      <alignment vertical="center"/>
    </xf>
    <xf numFmtId="3" fontId="23" fillId="0" borderId="4" xfId="47" applyNumberFormat="1" applyFont="1" applyFill="1" applyBorder="1" applyAlignment="1">
      <alignment vertical="center"/>
    </xf>
    <xf numFmtId="179" fontId="23" fillId="0" borderId="4" xfId="49" applyNumberFormat="1" applyFont="1" applyFill="1" applyBorder="1" applyAlignment="1">
      <alignment vertical="center"/>
    </xf>
    <xf numFmtId="10" fontId="23" fillId="7" borderId="4" xfId="49" applyNumberFormat="1" applyFont="1" applyFill="1" applyBorder="1" applyAlignment="1">
      <alignment vertical="center"/>
    </xf>
    <xf numFmtId="178" fontId="23" fillId="0" borderId="4" xfId="47" applyNumberFormat="1" applyFont="1" applyFill="1" applyBorder="1" applyAlignment="1">
      <alignment vertical="center"/>
    </xf>
    <xf numFmtId="177" fontId="23" fillId="0" borderId="4" xfId="48" applyNumberFormat="1" applyFont="1" applyFill="1" applyBorder="1" applyAlignment="1">
      <alignment vertical="center"/>
    </xf>
    <xf numFmtId="177" fontId="23" fillId="0" borderId="4" xfId="48" applyNumberFormat="1" applyFont="1" applyFill="1" applyBorder="1" applyAlignment="1">
      <alignment horizontal="center" vertical="center"/>
    </xf>
    <xf numFmtId="41" fontId="34" fillId="5" borderId="0" xfId="47" applyNumberFormat="1" applyFont="1" applyFill="1">
      <alignment vertical="center"/>
    </xf>
    <xf numFmtId="14" fontId="34" fillId="5" borderId="0" xfId="47" applyNumberFormat="1" applyFont="1" applyFill="1">
      <alignment vertical="center"/>
    </xf>
    <xf numFmtId="0" fontId="2" fillId="5" borderId="0" xfId="47" applyFill="1">
      <alignment vertical="center"/>
    </xf>
    <xf numFmtId="3" fontId="16" fillId="5" borderId="0" xfId="47" applyNumberFormat="1" applyFont="1" applyFill="1" applyBorder="1" applyAlignment="1">
      <alignment vertical="center"/>
    </xf>
    <xf numFmtId="3" fontId="36" fillId="5" borderId="0" xfId="47" applyNumberFormat="1" applyFont="1" applyFill="1" applyBorder="1" applyAlignment="1">
      <alignment vertical="center"/>
    </xf>
    <xf numFmtId="41" fontId="23" fillId="5" borderId="0" xfId="48" applyFont="1" applyFill="1" applyBorder="1" applyAlignment="1">
      <alignment vertical="center"/>
    </xf>
    <xf numFmtId="41" fontId="35" fillId="5" borderId="0" xfId="48" applyFont="1" applyFill="1" applyAlignment="1">
      <alignment horizontal="right" vertical="center"/>
    </xf>
    <xf numFmtId="3" fontId="23" fillId="5" borderId="0" xfId="47" applyNumberFormat="1" applyFont="1" applyFill="1" applyBorder="1" applyAlignment="1">
      <alignment vertical="center"/>
    </xf>
    <xf numFmtId="177" fontId="36" fillId="5" borderId="0" xfId="48" applyNumberFormat="1" applyFont="1" applyFill="1" applyBorder="1" applyAlignment="1">
      <alignment vertical="center"/>
    </xf>
    <xf numFmtId="0" fontId="37" fillId="5" borderId="0" xfId="47" applyFont="1" applyFill="1" applyAlignment="1">
      <alignment horizontal="center" vertical="center"/>
    </xf>
    <xf numFmtId="0" fontId="37" fillId="5" borderId="0" xfId="47" applyFont="1" applyFill="1">
      <alignment vertical="center"/>
    </xf>
    <xf numFmtId="0" fontId="23" fillId="5" borderId="0" xfId="47" applyFont="1" applyFill="1">
      <alignment vertical="center"/>
    </xf>
    <xf numFmtId="41" fontId="37" fillId="5" borderId="0" xfId="48" applyFont="1" applyFill="1" applyAlignment="1">
      <alignment horizontal="right" vertical="center"/>
    </xf>
    <xf numFmtId="176" fontId="37" fillId="5" borderId="0" xfId="47" applyNumberFormat="1" applyFont="1" applyFill="1" applyBorder="1" applyAlignment="1"/>
    <xf numFmtId="41" fontId="23" fillId="9" borderId="0" xfId="48" applyFont="1" applyFill="1" applyAlignment="1">
      <alignment horizontal="right" vertical="center"/>
    </xf>
    <xf numFmtId="177" fontId="37" fillId="5" borderId="0" xfId="48" applyNumberFormat="1" applyFont="1" applyFill="1" applyAlignment="1">
      <alignment horizontal="right" vertical="center"/>
    </xf>
    <xf numFmtId="177" fontId="37" fillId="5" borderId="0" xfId="48" applyNumberFormat="1" applyFont="1" applyFill="1" applyBorder="1" applyAlignment="1"/>
    <xf numFmtId="41" fontId="34" fillId="0" borderId="0" xfId="48" applyFont="1" applyFill="1">
      <alignment vertical="center"/>
    </xf>
    <xf numFmtId="41" fontId="37" fillId="5" borderId="0" xfId="47" applyNumberFormat="1" applyFont="1" applyFill="1">
      <alignment vertical="center"/>
    </xf>
    <xf numFmtId="0" fontId="34" fillId="5" borderId="7" xfId="47" applyFont="1" applyFill="1" applyBorder="1">
      <alignment vertical="center"/>
    </xf>
    <xf numFmtId="0" fontId="34" fillId="5" borderId="8" xfId="47" applyFont="1" applyFill="1" applyBorder="1">
      <alignment vertical="center"/>
    </xf>
    <xf numFmtId="41" fontId="34" fillId="5" borderId="9" xfId="48" applyFont="1" applyFill="1" applyBorder="1">
      <alignment vertical="center"/>
    </xf>
    <xf numFmtId="0" fontId="56" fillId="5" borderId="0" xfId="47" applyFont="1" applyFill="1">
      <alignment vertical="center"/>
    </xf>
    <xf numFmtId="0" fontId="34" fillId="5" borderId="0" xfId="48" applyNumberFormat="1" applyFont="1" applyFill="1">
      <alignment vertical="center"/>
    </xf>
    <xf numFmtId="0" fontId="39" fillId="5" borderId="0" xfId="47" applyFont="1" applyFill="1">
      <alignment vertical="center"/>
    </xf>
    <xf numFmtId="0" fontId="34" fillId="5" borderId="10" xfId="47" quotePrefix="1" applyFont="1" applyFill="1" applyBorder="1">
      <alignment vertical="center"/>
    </xf>
    <xf numFmtId="0" fontId="34" fillId="5" borderId="0" xfId="47" applyFont="1" applyFill="1" applyBorder="1">
      <alignment vertical="center"/>
    </xf>
    <xf numFmtId="41" fontId="34" fillId="5" borderId="11" xfId="48" applyFont="1" applyFill="1" applyBorder="1">
      <alignment vertical="center"/>
    </xf>
    <xf numFmtId="0" fontId="40" fillId="5" borderId="0" xfId="47" applyFont="1" applyFill="1">
      <alignment vertical="center"/>
    </xf>
    <xf numFmtId="0" fontId="34" fillId="5" borderId="0" xfId="47" quotePrefix="1" applyFont="1" applyFill="1">
      <alignment vertical="center"/>
    </xf>
    <xf numFmtId="0" fontId="34" fillId="5" borderId="10" xfId="47" applyFont="1" applyFill="1" applyBorder="1">
      <alignment vertical="center"/>
    </xf>
    <xf numFmtId="0" fontId="56" fillId="5" borderId="10" xfId="47" applyFont="1" applyFill="1" applyBorder="1">
      <alignment vertical="center"/>
    </xf>
    <xf numFmtId="0" fontId="56" fillId="5" borderId="0" xfId="47" applyFont="1" applyFill="1" applyBorder="1">
      <alignment vertical="center"/>
    </xf>
    <xf numFmtId="0" fontId="40" fillId="5" borderId="10" xfId="47" applyFont="1" applyFill="1" applyBorder="1">
      <alignment vertical="center"/>
    </xf>
    <xf numFmtId="41" fontId="34" fillId="5" borderId="0" xfId="48" quotePrefix="1" applyFont="1" applyFill="1">
      <alignment vertical="center"/>
    </xf>
    <xf numFmtId="177" fontId="41" fillId="5" borderId="0" xfId="48" applyNumberFormat="1" applyFont="1" applyFill="1">
      <alignment vertical="center"/>
    </xf>
    <xf numFmtId="0" fontId="34" fillId="0" borderId="0" xfId="47" applyFont="1" applyFill="1">
      <alignment vertical="center"/>
    </xf>
    <xf numFmtId="0" fontId="34" fillId="5" borderId="12" xfId="47" applyFont="1" applyFill="1" applyBorder="1">
      <alignment vertical="center"/>
    </xf>
    <xf numFmtId="0" fontId="34" fillId="5" borderId="6" xfId="47" applyFont="1" applyFill="1" applyBorder="1">
      <alignment vertical="center"/>
    </xf>
    <xf numFmtId="41" fontId="34" fillId="5" borderId="13" xfId="48" applyFont="1" applyFill="1" applyBorder="1">
      <alignment vertical="center"/>
    </xf>
    <xf numFmtId="41" fontId="34" fillId="5" borderId="0" xfId="48" applyFont="1" applyFill="1" applyBorder="1">
      <alignment vertical="center"/>
    </xf>
    <xf numFmtId="0" fontId="34" fillId="5" borderId="9" xfId="47" applyFont="1" applyFill="1" applyBorder="1">
      <alignment vertical="center"/>
    </xf>
    <xf numFmtId="0" fontId="34" fillId="5" borderId="10" xfId="47" applyFont="1" applyFill="1" applyBorder="1" applyAlignment="1">
      <alignment horizontal="left" vertical="center"/>
    </xf>
    <xf numFmtId="184" fontId="34" fillId="5" borderId="0" xfId="48" applyNumberFormat="1" applyFont="1" applyFill="1">
      <alignment vertical="center"/>
    </xf>
    <xf numFmtId="43" fontId="34" fillId="5" borderId="0" xfId="47" applyNumberFormat="1" applyFont="1" applyFill="1">
      <alignment vertical="center"/>
    </xf>
    <xf numFmtId="0" fontId="49" fillId="0" borderId="1" xfId="2" applyFont="1" applyBorder="1" applyAlignment="1">
      <alignment horizontal="center" vertical="top"/>
    </xf>
    <xf numFmtId="0" fontId="47" fillId="0" borderId="6" xfId="18" applyFont="1" applyBorder="1" applyAlignment="1">
      <alignment horizontal="center" vertical="top"/>
    </xf>
    <xf numFmtId="0" fontId="23" fillId="0" borderId="1" xfId="40" applyFont="1" applyBorder="1" applyAlignment="1">
      <alignment horizontal="center" vertical="center"/>
    </xf>
    <xf numFmtId="0" fontId="33" fillId="0" borderId="0" xfId="40" applyFont="1" applyAlignment="1">
      <alignment horizontal="left" vertical="center"/>
    </xf>
    <xf numFmtId="0" fontId="47" fillId="0" borderId="6" xfId="2" applyFont="1" applyBorder="1" applyAlignment="1">
      <alignment horizontal="center" vertical="top"/>
    </xf>
    <xf numFmtId="49" fontId="67" fillId="0" borderId="0" xfId="0" applyNumberFormat="1" applyFont="1" applyAlignment="1">
      <alignment horizontal="center" vertical="center"/>
    </xf>
    <xf numFmtId="0" fontId="51" fillId="0" borderId="10" xfId="18" quotePrefix="1" applyFont="1" applyBorder="1" applyAlignment="1">
      <alignment horizontal="left" vertical="center" wrapText="1"/>
    </xf>
    <xf numFmtId="0" fontId="51" fillId="0" borderId="0" xfId="18" quotePrefix="1" applyFont="1" applyAlignment="1">
      <alignment horizontal="left" vertical="center" wrapText="1"/>
    </xf>
  </cellXfs>
  <cellStyles count="56">
    <cellStyle name="Comma [0]" xfId="13"/>
    <cellStyle name="Percent" xfId="14"/>
    <cellStyle name="백분율" xfId="17" builtinId="5"/>
    <cellStyle name="백분율 2" xfId="7"/>
    <cellStyle name="백분율 2 2" xfId="21"/>
    <cellStyle name="백분율 2 2 2" xfId="46"/>
    <cellStyle name="백분율 2 2 3" xfId="49"/>
    <cellStyle name="백분율 2 2 3 2" xfId="55"/>
    <cellStyle name="백분율 2 2 4" xfId="52"/>
    <cellStyle name="백분율 2 3" xfId="30"/>
    <cellStyle name="백분율 2 3 2" xfId="39"/>
    <cellStyle name="백분율 3" xfId="8"/>
    <cellStyle name="백분율 3 2" xfId="23"/>
    <cellStyle name="백분율 4" xfId="15"/>
    <cellStyle name="백분율 4 2" xfId="27"/>
    <cellStyle name="백분율 4 3" xfId="34"/>
    <cellStyle name="백분율 4 3 2" xfId="43"/>
    <cellStyle name="쉼표 [0]" xfId="1" builtinId="6"/>
    <cellStyle name="쉼표 [0] 2" xfId="3"/>
    <cellStyle name="쉼표 [0] 2 2" xfId="22"/>
    <cellStyle name="쉼표 [0] 3" xfId="5"/>
    <cellStyle name="쉼표 [0] 3 2" xfId="20"/>
    <cellStyle name="쉼표 [0] 3 2 2" xfId="38"/>
    <cellStyle name="쉼표 [0] 3 2 3" xfId="45"/>
    <cellStyle name="쉼표 [0] 3 2 4" xfId="48"/>
    <cellStyle name="쉼표 [0] 3 2 4 2" xfId="54"/>
    <cellStyle name="쉼표 [0] 3 2 5" xfId="51"/>
    <cellStyle name="쉼표 [0] 3 3" xfId="29"/>
    <cellStyle name="쉼표 [0] 3 3 2" xfId="36"/>
    <cellStyle name="쉼표 [0] 4" xfId="10"/>
    <cellStyle name="쉼표 [0] 4 2" xfId="25"/>
    <cellStyle name="쉼표 [0] 4 3" xfId="32"/>
    <cellStyle name="쉼표 [0] 4 3 2" xfId="41"/>
    <cellStyle name="쉼표 [0] 5" xfId="16"/>
    <cellStyle name="쉼표 [0] 5 2" xfId="12"/>
    <cellStyle name="쉼표 [0] 5 2 2" xfId="26"/>
    <cellStyle name="쉼표 [0] 5 2 3" xfId="33"/>
    <cellStyle name="쉼표 [0] 5 2 3 2" xfId="42"/>
    <cellStyle name="표준" xfId="0" builtinId="0"/>
    <cellStyle name="표준 2" xfId="2"/>
    <cellStyle name="표준 2 2" xfId="18"/>
    <cellStyle name="표준 3" xfId="4"/>
    <cellStyle name="표준 3 2" xfId="19"/>
    <cellStyle name="표준 3 2 2" xfId="37"/>
    <cellStyle name="표준 3 2 3" xfId="44"/>
    <cellStyle name="표준 3 2 4" xfId="47"/>
    <cellStyle name="표준 3 2 4 2" xfId="53"/>
    <cellStyle name="표준 3 2 5" xfId="50"/>
    <cellStyle name="표준 3 3" xfId="11"/>
    <cellStyle name="표준 3 4" xfId="28"/>
    <cellStyle name="표준 3 4 2" xfId="35"/>
    <cellStyle name="표준 4" xfId="9"/>
    <cellStyle name="표준 4 2" xfId="24"/>
    <cellStyle name="표준 4 3" xfId="31"/>
    <cellStyle name="표준 4 3 2" xfId="40"/>
    <cellStyle name="표준_SHC_OB Audit_X1000_Sample" xfId="6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4" Type="http://schemas.openxmlformats.org/officeDocument/2006/relationships/image" Target="../media/image62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0.png"/><Relationship Id="rId3" Type="http://schemas.openxmlformats.org/officeDocument/2006/relationships/image" Target="../media/image65.png"/><Relationship Id="rId7" Type="http://schemas.openxmlformats.org/officeDocument/2006/relationships/image" Target="../media/image69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Relationship Id="rId6" Type="http://schemas.openxmlformats.org/officeDocument/2006/relationships/image" Target="../media/image68.png"/><Relationship Id="rId5" Type="http://schemas.openxmlformats.org/officeDocument/2006/relationships/image" Target="../media/image67.png"/><Relationship Id="rId10" Type="http://schemas.openxmlformats.org/officeDocument/2006/relationships/image" Target="../media/image72.png"/><Relationship Id="rId4" Type="http://schemas.openxmlformats.org/officeDocument/2006/relationships/image" Target="../media/image66.png"/><Relationship Id="rId9" Type="http://schemas.openxmlformats.org/officeDocument/2006/relationships/image" Target="../media/image7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7" Type="http://schemas.openxmlformats.org/officeDocument/2006/relationships/image" Target="../media/image78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7.png"/><Relationship Id="rId5" Type="http://schemas.openxmlformats.org/officeDocument/2006/relationships/image" Target="../media/image76.png"/><Relationship Id="rId4" Type="http://schemas.openxmlformats.org/officeDocument/2006/relationships/image" Target="../media/image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1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g"/><Relationship Id="rId3" Type="http://schemas.openxmlformats.org/officeDocument/2006/relationships/image" Target="../media/image9.png"/><Relationship Id="rId7" Type="http://schemas.openxmlformats.org/officeDocument/2006/relationships/image" Target="../media/image12.jp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9" Type="http://schemas.openxmlformats.org/officeDocument/2006/relationships/image" Target="../media/image14.gi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.png"/><Relationship Id="rId7" Type="http://schemas.openxmlformats.org/officeDocument/2006/relationships/image" Target="../media/image20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25.png"/><Relationship Id="rId7" Type="http://schemas.openxmlformats.org/officeDocument/2006/relationships/image" Target="../media/image29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3" Type="http://schemas.openxmlformats.org/officeDocument/2006/relationships/image" Target="../media/image53.png"/><Relationship Id="rId7" Type="http://schemas.openxmlformats.org/officeDocument/2006/relationships/image" Target="../media/image57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392216</xdr:colOff>
      <xdr:row>0</xdr:row>
      <xdr:rowOff>134470</xdr:rowOff>
    </xdr:from>
    <xdr:to>
      <xdr:col>32</xdr:col>
      <xdr:colOff>563332</xdr:colOff>
      <xdr:row>49</xdr:row>
      <xdr:rowOff>88054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89966" y="134470"/>
          <a:ext cx="7200566" cy="8421309"/>
        </a:xfrm>
        <a:prstGeom prst="rect">
          <a:avLst/>
        </a:prstGeom>
      </xdr:spPr>
    </xdr:pic>
    <xdr:clientData/>
  </xdr:twoCellAnchor>
  <xdr:oneCellAnchor>
    <xdr:from>
      <xdr:col>1</xdr:col>
      <xdr:colOff>47626</xdr:colOff>
      <xdr:row>39</xdr:row>
      <xdr:rowOff>56172</xdr:rowOff>
    </xdr:from>
    <xdr:ext cx="3934236" cy="2239353"/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1" y="6809397"/>
          <a:ext cx="3934236" cy="2239353"/>
        </a:xfrm>
        <a:prstGeom prst="rect">
          <a:avLst/>
        </a:prstGeom>
      </xdr:spPr>
    </xdr:pic>
    <xdr:clientData/>
  </xdr:oneCellAnchor>
  <xdr:twoCellAnchor editAs="oneCell">
    <xdr:from>
      <xdr:col>9</xdr:col>
      <xdr:colOff>41317</xdr:colOff>
      <xdr:row>49</xdr:row>
      <xdr:rowOff>102024</xdr:rowOff>
    </xdr:from>
    <xdr:to>
      <xdr:col>16</xdr:col>
      <xdr:colOff>425823</xdr:colOff>
      <xdr:row>86</xdr:row>
      <xdr:rowOff>28319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47367" y="8569749"/>
          <a:ext cx="6575756" cy="626994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5</xdr:col>
      <xdr:colOff>14447</xdr:colOff>
      <xdr:row>52</xdr:row>
      <xdr:rowOff>30816</xdr:rowOff>
    </xdr:from>
    <xdr:to>
      <xdr:col>8</xdr:col>
      <xdr:colOff>297515</xdr:colOff>
      <xdr:row>84</xdr:row>
      <xdr:rowOff>38670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67522" y="9012891"/>
          <a:ext cx="4188318" cy="549425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6</xdr:col>
      <xdr:colOff>1053353</xdr:colOff>
      <xdr:row>27</xdr:row>
      <xdr:rowOff>134471</xdr:rowOff>
    </xdr:from>
    <xdr:to>
      <xdr:col>7</xdr:col>
      <xdr:colOff>1008531</xdr:colOff>
      <xdr:row>43</xdr:row>
      <xdr:rowOff>56029</xdr:rowOff>
    </xdr:to>
    <xdr:cxnSp macro="">
      <xdr:nvCxnSpPr>
        <xdr:cNvPr id="25" name="직선 화살표 연결선 24"/>
        <xdr:cNvCxnSpPr/>
      </xdr:nvCxnSpPr>
      <xdr:spPr>
        <a:xfrm flipH="1">
          <a:off x="7911353" y="4830296"/>
          <a:ext cx="1088653" cy="2664758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1086971</xdr:colOff>
      <xdr:row>28</xdr:row>
      <xdr:rowOff>96371</xdr:rowOff>
    </xdr:from>
    <xdr:to>
      <xdr:col>7</xdr:col>
      <xdr:colOff>1205756</xdr:colOff>
      <xdr:row>49</xdr:row>
      <xdr:rowOff>44824</xdr:rowOff>
    </xdr:to>
    <xdr:cxnSp macro="">
      <xdr:nvCxnSpPr>
        <xdr:cNvPr id="26" name="직선 화살표 연결선 25"/>
        <xdr:cNvCxnSpPr/>
      </xdr:nvCxnSpPr>
      <xdr:spPr>
        <a:xfrm flipH="1">
          <a:off x="7944971" y="4963646"/>
          <a:ext cx="1252260" cy="3548903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1459011</xdr:colOff>
      <xdr:row>31</xdr:row>
      <xdr:rowOff>91887</xdr:rowOff>
    </xdr:from>
    <xdr:to>
      <xdr:col>9</xdr:col>
      <xdr:colOff>762001</xdr:colOff>
      <xdr:row>59</xdr:row>
      <xdr:rowOff>67234</xdr:rowOff>
    </xdr:to>
    <xdr:cxnSp macro="">
      <xdr:nvCxnSpPr>
        <xdr:cNvPr id="27" name="직선 화살표 연결선 26"/>
        <xdr:cNvCxnSpPr/>
      </xdr:nvCxnSpPr>
      <xdr:spPr>
        <a:xfrm>
          <a:off x="9450486" y="5473512"/>
          <a:ext cx="1617565" cy="4775947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142875</xdr:colOff>
      <xdr:row>8</xdr:row>
      <xdr:rowOff>190500</xdr:rowOff>
    </xdr:from>
    <xdr:to>
      <xdr:col>4</xdr:col>
      <xdr:colOff>1180186</xdr:colOff>
      <xdr:row>14</xdr:row>
      <xdr:rowOff>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628775"/>
          <a:ext cx="5371186" cy="838200"/>
        </a:xfrm>
        <a:prstGeom prst="rect">
          <a:avLst/>
        </a:prstGeom>
      </xdr:spPr>
    </xdr:pic>
    <xdr:clientData/>
  </xdr:twoCellAnchor>
  <xdr:twoCellAnchor editAs="oneCell">
    <xdr:from>
      <xdr:col>6</xdr:col>
      <xdr:colOff>928968</xdr:colOff>
      <xdr:row>21</xdr:row>
      <xdr:rowOff>22972</xdr:rowOff>
    </xdr:from>
    <xdr:to>
      <xdr:col>10</xdr:col>
      <xdr:colOff>567018</xdr:colOff>
      <xdr:row>29</xdr:row>
      <xdr:rowOff>55357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53668" y="3718672"/>
          <a:ext cx="4114800" cy="13373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89647</xdr:colOff>
      <xdr:row>22</xdr:row>
      <xdr:rowOff>89647</xdr:rowOff>
    </xdr:from>
    <xdr:to>
      <xdr:col>4</xdr:col>
      <xdr:colOff>1176618</xdr:colOff>
      <xdr:row>52</xdr:row>
      <xdr:rowOff>874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4971" y="3888441"/>
          <a:ext cx="5434853" cy="4617698"/>
        </a:xfrm>
        <a:prstGeom prst="rect">
          <a:avLst/>
        </a:prstGeom>
      </xdr:spPr>
    </xdr:pic>
    <xdr:clientData/>
  </xdr:twoCellAnchor>
  <xdr:twoCellAnchor editAs="oneCell">
    <xdr:from>
      <xdr:col>1</xdr:col>
      <xdr:colOff>89646</xdr:colOff>
      <xdr:row>55</xdr:row>
      <xdr:rowOff>56030</xdr:rowOff>
    </xdr:from>
    <xdr:to>
      <xdr:col>4</xdr:col>
      <xdr:colOff>1109381</xdr:colOff>
      <xdr:row>82</xdr:row>
      <xdr:rowOff>109685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4970" y="9054354"/>
          <a:ext cx="5367617" cy="428947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1048697</xdr:colOff>
      <xdr:row>7</xdr:row>
      <xdr:rowOff>0</xdr:rowOff>
    </xdr:from>
    <xdr:to>
      <xdr:col>35</xdr:col>
      <xdr:colOff>390255</xdr:colOff>
      <xdr:row>46</xdr:row>
      <xdr:rowOff>127676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203847" y="8549558"/>
          <a:ext cx="9923833" cy="8296764"/>
        </a:xfrm>
        <a:prstGeom prst="rect">
          <a:avLst/>
        </a:prstGeom>
      </xdr:spPr>
    </xdr:pic>
    <xdr:clientData/>
  </xdr:twoCellAnchor>
  <xdr:twoCellAnchor>
    <xdr:from>
      <xdr:col>1</xdr:col>
      <xdr:colOff>797719</xdr:colOff>
      <xdr:row>4</xdr:row>
      <xdr:rowOff>11906</xdr:rowOff>
    </xdr:from>
    <xdr:to>
      <xdr:col>7</xdr:col>
      <xdr:colOff>416719</xdr:colOff>
      <xdr:row>7</xdr:row>
      <xdr:rowOff>369094</xdr:rowOff>
    </xdr:to>
    <xdr:cxnSp macro="">
      <xdr:nvCxnSpPr>
        <xdr:cNvPr id="26" name="직선 화살표 연결선 25"/>
        <xdr:cNvCxnSpPr/>
      </xdr:nvCxnSpPr>
      <xdr:spPr>
        <a:xfrm flipH="1">
          <a:off x="997744" y="1031081"/>
          <a:ext cx="9677400" cy="1052513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1238249</xdr:colOff>
      <xdr:row>4</xdr:row>
      <xdr:rowOff>9525</xdr:rowOff>
    </xdr:from>
    <xdr:to>
      <xdr:col>11</xdr:col>
      <xdr:colOff>497684</xdr:colOff>
      <xdr:row>7</xdr:row>
      <xdr:rowOff>369094</xdr:rowOff>
    </xdr:to>
    <xdr:cxnSp macro="">
      <xdr:nvCxnSpPr>
        <xdr:cNvPr id="27" name="직선 화살표 연결선 26"/>
        <xdr:cNvCxnSpPr/>
      </xdr:nvCxnSpPr>
      <xdr:spPr>
        <a:xfrm flipH="1">
          <a:off x="8963024" y="1028700"/>
          <a:ext cx="5507835" cy="1054894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319081</xdr:colOff>
      <xdr:row>4</xdr:row>
      <xdr:rowOff>0</xdr:rowOff>
    </xdr:from>
    <xdr:to>
      <xdr:col>13</xdr:col>
      <xdr:colOff>59531</xdr:colOff>
      <xdr:row>8</xdr:row>
      <xdr:rowOff>-1</xdr:rowOff>
    </xdr:to>
    <xdr:cxnSp macro="">
      <xdr:nvCxnSpPr>
        <xdr:cNvPr id="28" name="직선 화살표 연결선 27"/>
        <xdr:cNvCxnSpPr/>
      </xdr:nvCxnSpPr>
      <xdr:spPr>
        <a:xfrm>
          <a:off x="15054256" y="1019175"/>
          <a:ext cx="188125" cy="1095374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179295</xdr:colOff>
      <xdr:row>27</xdr:row>
      <xdr:rowOff>145678</xdr:rowOff>
    </xdr:from>
    <xdr:to>
      <xdr:col>3</xdr:col>
      <xdr:colOff>285278</xdr:colOff>
      <xdr:row>36</xdr:row>
      <xdr:rowOff>201707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9320" y="6251203"/>
          <a:ext cx="4820858" cy="1941979"/>
        </a:xfrm>
        <a:prstGeom prst="rect">
          <a:avLst/>
        </a:prstGeom>
      </xdr:spPr>
    </xdr:pic>
    <xdr:clientData/>
  </xdr:twoCellAnchor>
  <xdr:twoCellAnchor editAs="oneCell">
    <xdr:from>
      <xdr:col>1</xdr:col>
      <xdr:colOff>392206</xdr:colOff>
      <xdr:row>36</xdr:row>
      <xdr:rowOff>190503</xdr:rowOff>
    </xdr:from>
    <xdr:to>
      <xdr:col>3</xdr:col>
      <xdr:colOff>246530</xdr:colOff>
      <xdr:row>43</xdr:row>
      <xdr:rowOff>33807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2231" y="8181978"/>
          <a:ext cx="4569199" cy="1310154"/>
        </a:xfrm>
        <a:prstGeom prst="rect">
          <a:avLst/>
        </a:prstGeom>
      </xdr:spPr>
    </xdr:pic>
    <xdr:clientData/>
  </xdr:twoCellAnchor>
  <xdr:twoCellAnchor editAs="oneCell">
    <xdr:from>
      <xdr:col>1</xdr:col>
      <xdr:colOff>1008528</xdr:colOff>
      <xdr:row>11</xdr:row>
      <xdr:rowOff>112059</xdr:rowOff>
    </xdr:from>
    <xdr:to>
      <xdr:col>2</xdr:col>
      <xdr:colOff>2969558</xdr:colOff>
      <xdr:row>25</xdr:row>
      <xdr:rowOff>65554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8553" y="2855259"/>
          <a:ext cx="3218330" cy="2887195"/>
        </a:xfrm>
        <a:prstGeom prst="rect">
          <a:avLst/>
        </a:prstGeom>
      </xdr:spPr>
    </xdr:pic>
    <xdr:clientData/>
  </xdr:twoCellAnchor>
  <xdr:twoCellAnchor editAs="oneCell">
    <xdr:from>
      <xdr:col>1</xdr:col>
      <xdr:colOff>68037</xdr:colOff>
      <xdr:row>48</xdr:row>
      <xdr:rowOff>28450</xdr:rowOff>
    </xdr:from>
    <xdr:to>
      <xdr:col>4</xdr:col>
      <xdr:colOff>802822</xdr:colOff>
      <xdr:row>62</xdr:row>
      <xdr:rowOff>119985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8062" y="10534525"/>
          <a:ext cx="6916510" cy="3025235"/>
        </a:xfrm>
        <a:prstGeom prst="rect">
          <a:avLst/>
        </a:prstGeom>
      </xdr:spPr>
    </xdr:pic>
    <xdr:clientData/>
  </xdr:twoCellAnchor>
  <xdr:twoCellAnchor>
    <xdr:from>
      <xdr:col>3</xdr:col>
      <xdr:colOff>899673</xdr:colOff>
      <xdr:row>58</xdr:row>
      <xdr:rowOff>207743</xdr:rowOff>
    </xdr:from>
    <xdr:to>
      <xdr:col>4</xdr:col>
      <xdr:colOff>166591</xdr:colOff>
      <xdr:row>60</xdr:row>
      <xdr:rowOff>83582</xdr:rowOff>
    </xdr:to>
    <xdr:sp macro="" textlink="">
      <xdr:nvSpPr>
        <xdr:cNvPr id="33" name="직사각형 32"/>
        <xdr:cNvSpPr/>
      </xdr:nvSpPr>
      <xdr:spPr>
        <a:xfrm>
          <a:off x="5814573" y="12809318"/>
          <a:ext cx="733768" cy="29493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5</xdr:col>
      <xdr:colOff>56029</xdr:colOff>
      <xdr:row>9</xdr:row>
      <xdr:rowOff>112060</xdr:rowOff>
    </xdr:from>
    <xdr:to>
      <xdr:col>10</xdr:col>
      <xdr:colOff>263572</xdr:colOff>
      <xdr:row>18</xdr:row>
      <xdr:rowOff>175650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80804" y="2436160"/>
          <a:ext cx="5693943" cy="1949540"/>
        </a:xfrm>
        <a:prstGeom prst="rect">
          <a:avLst/>
        </a:prstGeom>
      </xdr:spPr>
    </xdr:pic>
    <xdr:clientData/>
  </xdr:twoCellAnchor>
  <xdr:twoCellAnchor editAs="oneCell">
    <xdr:from>
      <xdr:col>5</xdr:col>
      <xdr:colOff>44823</xdr:colOff>
      <xdr:row>19</xdr:row>
      <xdr:rowOff>134471</xdr:rowOff>
    </xdr:from>
    <xdr:to>
      <xdr:col>10</xdr:col>
      <xdr:colOff>328576</xdr:colOff>
      <xdr:row>27</xdr:row>
      <xdr:rowOff>174495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69598" y="4563596"/>
          <a:ext cx="5770153" cy="1716424"/>
        </a:xfrm>
        <a:prstGeom prst="rect">
          <a:avLst/>
        </a:prstGeom>
      </xdr:spPr>
    </xdr:pic>
    <xdr:clientData/>
  </xdr:twoCellAnchor>
  <xdr:twoCellAnchor>
    <xdr:from>
      <xdr:col>5</xdr:col>
      <xdr:colOff>4537</xdr:colOff>
      <xdr:row>26</xdr:row>
      <xdr:rowOff>107304</xdr:rowOff>
    </xdr:from>
    <xdr:to>
      <xdr:col>10</xdr:col>
      <xdr:colOff>692930</xdr:colOff>
      <xdr:row>28</xdr:row>
      <xdr:rowOff>87392</xdr:rowOff>
    </xdr:to>
    <xdr:sp macro="" textlink="">
      <xdr:nvSpPr>
        <xdr:cNvPr id="36" name="직사각형 35"/>
        <xdr:cNvSpPr/>
      </xdr:nvSpPr>
      <xdr:spPr>
        <a:xfrm>
          <a:off x="7729312" y="6003279"/>
          <a:ext cx="6174793" cy="39918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15</xdr:col>
      <xdr:colOff>299357</xdr:colOff>
      <xdr:row>13</xdr:row>
      <xdr:rowOff>108857</xdr:rowOff>
    </xdr:from>
    <xdr:to>
      <xdr:col>18</xdr:col>
      <xdr:colOff>452337</xdr:colOff>
      <xdr:row>19</xdr:row>
      <xdr:rowOff>175713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444357" y="3271157"/>
          <a:ext cx="4143955" cy="1324156"/>
        </a:xfrm>
        <a:prstGeom prst="rect">
          <a:avLst/>
        </a:prstGeom>
      </xdr:spPr>
    </xdr:pic>
    <xdr:clientData/>
  </xdr:twoCellAnchor>
  <xdr:twoCellAnchor>
    <xdr:from>
      <xdr:col>16</xdr:col>
      <xdr:colOff>948555</xdr:colOff>
      <xdr:row>19</xdr:row>
      <xdr:rowOff>127768</xdr:rowOff>
    </xdr:from>
    <xdr:to>
      <xdr:col>17</xdr:col>
      <xdr:colOff>892276</xdr:colOff>
      <xdr:row>19</xdr:row>
      <xdr:rowOff>127768</xdr:rowOff>
    </xdr:to>
    <xdr:cxnSp macro="">
      <xdr:nvCxnSpPr>
        <xdr:cNvPr id="38" name="직선 연결선 37"/>
        <xdr:cNvCxnSpPr/>
      </xdr:nvCxnSpPr>
      <xdr:spPr>
        <a:xfrm>
          <a:off x="19665180" y="4556893"/>
          <a:ext cx="1058146" cy="0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54429</xdr:colOff>
      <xdr:row>23</xdr:row>
      <xdr:rowOff>65636</xdr:rowOff>
    </xdr:from>
    <xdr:to>
      <xdr:col>22</xdr:col>
      <xdr:colOff>294495</xdr:colOff>
      <xdr:row>62</xdr:row>
      <xdr:rowOff>193311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37279" y="5332961"/>
          <a:ext cx="9869841" cy="8300125"/>
        </a:xfrm>
        <a:prstGeom prst="rect">
          <a:avLst/>
        </a:prstGeom>
      </xdr:spPr>
    </xdr:pic>
    <xdr:clientData/>
  </xdr:twoCellAnchor>
  <xdr:twoCellAnchor>
    <xdr:from>
      <xdr:col>2</xdr:col>
      <xdr:colOff>2095500</xdr:colOff>
      <xdr:row>4</xdr:row>
      <xdr:rowOff>11907</xdr:rowOff>
    </xdr:from>
    <xdr:to>
      <xdr:col>10</xdr:col>
      <xdr:colOff>333378</xdr:colOff>
      <xdr:row>46</xdr:row>
      <xdr:rowOff>123264</xdr:rowOff>
    </xdr:to>
    <xdr:cxnSp macro="">
      <xdr:nvCxnSpPr>
        <xdr:cNvPr id="40" name="직선 화살표 연결선 39"/>
        <xdr:cNvCxnSpPr/>
      </xdr:nvCxnSpPr>
      <xdr:spPr>
        <a:xfrm flipH="1">
          <a:off x="3552825" y="1031082"/>
          <a:ext cx="9991728" cy="9179157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68035</xdr:rowOff>
    </xdr:from>
    <xdr:to>
      <xdr:col>4</xdr:col>
      <xdr:colOff>566998</xdr:colOff>
      <xdr:row>89</xdr:row>
      <xdr:rowOff>67413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13717360"/>
          <a:ext cx="6748723" cy="5447678"/>
        </a:xfrm>
        <a:prstGeom prst="rect">
          <a:avLst/>
        </a:prstGeom>
      </xdr:spPr>
    </xdr:pic>
    <xdr:clientData/>
  </xdr:twoCellAnchor>
  <xdr:twoCellAnchor editAs="oneCell">
    <xdr:from>
      <xdr:col>4</xdr:col>
      <xdr:colOff>761999</xdr:colOff>
      <xdr:row>63</xdr:row>
      <xdr:rowOff>0</xdr:rowOff>
    </xdr:from>
    <xdr:to>
      <xdr:col>10</xdr:col>
      <xdr:colOff>662247</xdr:colOff>
      <xdr:row>97</xdr:row>
      <xdr:rowOff>71734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49" y="13649325"/>
          <a:ext cx="6729673" cy="7196434"/>
        </a:xfrm>
        <a:prstGeom prst="rect">
          <a:avLst/>
        </a:prstGeom>
      </xdr:spPr>
    </xdr:pic>
    <xdr:clientData/>
  </xdr:twoCellAnchor>
  <xdr:twoCellAnchor>
    <xdr:from>
      <xdr:col>3</xdr:col>
      <xdr:colOff>1292910</xdr:colOff>
      <xdr:row>82</xdr:row>
      <xdr:rowOff>185205</xdr:rowOff>
    </xdr:from>
    <xdr:to>
      <xdr:col>4</xdr:col>
      <xdr:colOff>556716</xdr:colOff>
      <xdr:row>84</xdr:row>
      <xdr:rowOff>62290</xdr:rowOff>
    </xdr:to>
    <xdr:sp macro="" textlink="">
      <xdr:nvSpPr>
        <xdr:cNvPr id="43" name="직사각형 42"/>
        <xdr:cNvSpPr/>
      </xdr:nvSpPr>
      <xdr:spPr>
        <a:xfrm>
          <a:off x="6207810" y="17815980"/>
          <a:ext cx="730656" cy="29618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866962</xdr:colOff>
      <xdr:row>73</xdr:row>
      <xdr:rowOff>11479</xdr:rowOff>
    </xdr:from>
    <xdr:to>
      <xdr:col>10</xdr:col>
      <xdr:colOff>689906</xdr:colOff>
      <xdr:row>74</xdr:row>
      <xdr:rowOff>100229</xdr:rowOff>
    </xdr:to>
    <xdr:sp macro="" textlink="">
      <xdr:nvSpPr>
        <xdr:cNvPr id="44" name="직사각형 43"/>
        <xdr:cNvSpPr/>
      </xdr:nvSpPr>
      <xdr:spPr>
        <a:xfrm>
          <a:off x="13154212" y="15756304"/>
          <a:ext cx="746869" cy="2983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22413</xdr:colOff>
      <xdr:row>12</xdr:row>
      <xdr:rowOff>156881</xdr:rowOff>
    </xdr:from>
    <xdr:to>
      <xdr:col>13</xdr:col>
      <xdr:colOff>425824</xdr:colOff>
      <xdr:row>21</xdr:row>
      <xdr:rowOff>112058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1" y="7631205"/>
          <a:ext cx="7026088" cy="1367118"/>
        </a:xfrm>
        <a:prstGeom prst="rect">
          <a:avLst/>
        </a:prstGeom>
      </xdr:spPr>
    </xdr:pic>
    <xdr:clientData/>
  </xdr:twoCellAnchor>
  <xdr:twoCellAnchor editAs="oneCell">
    <xdr:from>
      <xdr:col>2</xdr:col>
      <xdr:colOff>156882</xdr:colOff>
      <xdr:row>8</xdr:row>
      <xdr:rowOff>33618</xdr:rowOff>
    </xdr:from>
    <xdr:to>
      <xdr:col>4</xdr:col>
      <xdr:colOff>1445558</xdr:colOff>
      <xdr:row>22</xdr:row>
      <xdr:rowOff>5304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34353" y="1490383"/>
          <a:ext cx="5009029" cy="2392156"/>
        </a:xfrm>
        <a:prstGeom prst="rect">
          <a:avLst/>
        </a:prstGeom>
      </xdr:spPr>
    </xdr:pic>
    <xdr:clientData/>
  </xdr:twoCellAnchor>
  <xdr:twoCellAnchor editAs="oneCell">
    <xdr:from>
      <xdr:col>2</xdr:col>
      <xdr:colOff>-1</xdr:colOff>
      <xdr:row>24</xdr:row>
      <xdr:rowOff>0</xdr:rowOff>
    </xdr:from>
    <xdr:to>
      <xdr:col>4</xdr:col>
      <xdr:colOff>1288675</xdr:colOff>
      <xdr:row>43</xdr:row>
      <xdr:rowOff>0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7470" y="4941794"/>
          <a:ext cx="5009029" cy="3036794"/>
        </a:xfrm>
        <a:prstGeom prst="rect">
          <a:avLst/>
        </a:prstGeom>
      </xdr:spPr>
    </xdr:pic>
    <xdr:clientData/>
  </xdr:twoCellAnchor>
  <xdr:twoCellAnchor>
    <xdr:from>
      <xdr:col>1</xdr:col>
      <xdr:colOff>672354</xdr:colOff>
      <xdr:row>4</xdr:row>
      <xdr:rowOff>22412</xdr:rowOff>
    </xdr:from>
    <xdr:to>
      <xdr:col>7</xdr:col>
      <xdr:colOff>683558</xdr:colOff>
      <xdr:row>6</xdr:row>
      <xdr:rowOff>100853</xdr:rowOff>
    </xdr:to>
    <xdr:cxnSp macro="">
      <xdr:nvCxnSpPr>
        <xdr:cNvPr id="2" name="직선 화살표 연결선 1"/>
        <xdr:cNvCxnSpPr/>
      </xdr:nvCxnSpPr>
      <xdr:spPr>
        <a:xfrm flipH="1">
          <a:off x="910479" y="803462"/>
          <a:ext cx="8659904" cy="411816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179294</xdr:colOff>
      <xdr:row>4</xdr:row>
      <xdr:rowOff>13448</xdr:rowOff>
    </xdr:from>
    <xdr:to>
      <xdr:col>12</xdr:col>
      <xdr:colOff>223286</xdr:colOff>
      <xdr:row>6</xdr:row>
      <xdr:rowOff>100853</xdr:rowOff>
    </xdr:to>
    <xdr:cxnSp macro="">
      <xdr:nvCxnSpPr>
        <xdr:cNvPr id="6" name="직선 화살표 연결선 5"/>
        <xdr:cNvCxnSpPr/>
      </xdr:nvCxnSpPr>
      <xdr:spPr>
        <a:xfrm flipH="1">
          <a:off x="7776882" y="786654"/>
          <a:ext cx="6218433" cy="401170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403412</xdr:colOff>
      <xdr:row>0</xdr:row>
      <xdr:rowOff>123264</xdr:rowOff>
    </xdr:from>
    <xdr:to>
      <xdr:col>29</xdr:col>
      <xdr:colOff>238352</xdr:colOff>
      <xdr:row>49</xdr:row>
      <xdr:rowOff>88054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891437" y="123264"/>
          <a:ext cx="7197765" cy="8384330"/>
        </a:xfrm>
        <a:prstGeom prst="rect">
          <a:avLst/>
        </a:prstGeom>
      </xdr:spPr>
    </xdr:pic>
    <xdr:clientData/>
  </xdr:twoCellAnchor>
  <xdr:twoCellAnchor>
    <xdr:from>
      <xdr:col>1</xdr:col>
      <xdr:colOff>638735</xdr:colOff>
      <xdr:row>3</xdr:row>
      <xdr:rowOff>174812</xdr:rowOff>
    </xdr:from>
    <xdr:to>
      <xdr:col>9</xdr:col>
      <xdr:colOff>484100</xdr:colOff>
      <xdr:row>23</xdr:row>
      <xdr:rowOff>112059</xdr:rowOff>
    </xdr:to>
    <xdr:cxnSp macro="">
      <xdr:nvCxnSpPr>
        <xdr:cNvPr id="11" name="직선 화살표 연결선 10"/>
        <xdr:cNvCxnSpPr/>
      </xdr:nvCxnSpPr>
      <xdr:spPr>
        <a:xfrm flipH="1">
          <a:off x="876860" y="774887"/>
          <a:ext cx="10865790" cy="4194922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638735</xdr:colOff>
      <xdr:row>4</xdr:row>
      <xdr:rowOff>11207</xdr:rowOff>
    </xdr:from>
    <xdr:to>
      <xdr:col>10</xdr:col>
      <xdr:colOff>410138</xdr:colOff>
      <xdr:row>43</xdr:row>
      <xdr:rowOff>123265</xdr:rowOff>
    </xdr:to>
    <xdr:cxnSp macro="">
      <xdr:nvCxnSpPr>
        <xdr:cNvPr id="13" name="직선 화살표 연결선 12"/>
        <xdr:cNvCxnSpPr/>
      </xdr:nvCxnSpPr>
      <xdr:spPr>
        <a:xfrm flipH="1">
          <a:off x="876860" y="792257"/>
          <a:ext cx="11744328" cy="5922308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93</xdr:row>
      <xdr:rowOff>0</xdr:rowOff>
    </xdr:from>
    <xdr:to>
      <xdr:col>4</xdr:col>
      <xdr:colOff>1288676</xdr:colOff>
      <xdr:row>108</xdr:row>
      <xdr:rowOff>100852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7471" y="15240000"/>
          <a:ext cx="5009029" cy="2454087"/>
        </a:xfrm>
        <a:prstGeom prst="rect">
          <a:avLst/>
        </a:prstGeom>
      </xdr:spPr>
    </xdr:pic>
    <xdr:clientData/>
  </xdr:twoCellAnchor>
  <xdr:twoCellAnchor editAs="oneCell">
    <xdr:from>
      <xdr:col>1</xdr:col>
      <xdr:colOff>1008529</xdr:colOff>
      <xdr:row>47</xdr:row>
      <xdr:rowOff>1</xdr:rowOff>
    </xdr:from>
    <xdr:to>
      <xdr:col>4</xdr:col>
      <xdr:colOff>1389529</xdr:colOff>
      <xdr:row>62</xdr:row>
      <xdr:rowOff>112059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3853" y="7978589"/>
          <a:ext cx="5143500" cy="2465294"/>
        </a:xfrm>
        <a:prstGeom prst="rect">
          <a:avLst/>
        </a:prstGeom>
      </xdr:spPr>
    </xdr:pic>
    <xdr:clientData/>
  </xdr:twoCellAnchor>
  <xdr:twoCellAnchor editAs="oneCell">
    <xdr:from>
      <xdr:col>2</xdr:col>
      <xdr:colOff>44824</xdr:colOff>
      <xdr:row>65</xdr:row>
      <xdr:rowOff>22411</xdr:rowOff>
    </xdr:from>
    <xdr:to>
      <xdr:col>4</xdr:col>
      <xdr:colOff>1322295</xdr:colOff>
      <xdr:row>90</xdr:row>
      <xdr:rowOff>145677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2295" y="10847293"/>
          <a:ext cx="4997824" cy="404532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280948</xdr:colOff>
      <xdr:row>10</xdr:row>
      <xdr:rowOff>96050</xdr:rowOff>
    </xdr:from>
    <xdr:to>
      <xdr:col>29</xdr:col>
      <xdr:colOff>115888</xdr:colOff>
      <xdr:row>56</xdr:row>
      <xdr:rowOff>153689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07123" y="1991525"/>
          <a:ext cx="7197765" cy="8277714"/>
        </a:xfrm>
        <a:prstGeom prst="rect">
          <a:avLst/>
        </a:prstGeom>
      </xdr:spPr>
    </xdr:pic>
    <xdr:clientData/>
  </xdr:twoCellAnchor>
  <xdr:twoCellAnchor editAs="oneCell">
    <xdr:from>
      <xdr:col>1</xdr:col>
      <xdr:colOff>168087</xdr:colOff>
      <xdr:row>8</xdr:row>
      <xdr:rowOff>201706</xdr:rowOff>
    </xdr:from>
    <xdr:to>
      <xdr:col>3</xdr:col>
      <xdr:colOff>839950</xdr:colOff>
      <xdr:row>20</xdr:row>
      <xdr:rowOff>168985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6212" y="1678081"/>
          <a:ext cx="4510438" cy="2386629"/>
        </a:xfrm>
        <a:prstGeom prst="rect">
          <a:avLst/>
        </a:prstGeom>
      </xdr:spPr>
    </xdr:pic>
    <xdr:clientData/>
  </xdr:twoCellAnchor>
  <xdr:twoCellAnchor editAs="oneCell">
    <xdr:from>
      <xdr:col>1</xdr:col>
      <xdr:colOff>84043</xdr:colOff>
      <xdr:row>74</xdr:row>
      <xdr:rowOff>164086</xdr:rowOff>
    </xdr:from>
    <xdr:to>
      <xdr:col>4</xdr:col>
      <xdr:colOff>1172617</xdr:colOff>
      <xdr:row>112</xdr:row>
      <xdr:rowOff>38547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168" y="13203811"/>
          <a:ext cx="5841549" cy="6037136"/>
        </a:xfrm>
        <a:prstGeom prst="rect">
          <a:avLst/>
        </a:prstGeom>
      </xdr:spPr>
    </xdr:pic>
    <xdr:clientData/>
  </xdr:twoCellAnchor>
  <xdr:twoCellAnchor editAs="oneCell">
    <xdr:from>
      <xdr:col>1</xdr:col>
      <xdr:colOff>56029</xdr:colOff>
      <xdr:row>32</xdr:row>
      <xdr:rowOff>0</xdr:rowOff>
    </xdr:from>
    <xdr:to>
      <xdr:col>4</xdr:col>
      <xdr:colOff>1434353</xdr:colOff>
      <xdr:row>71</xdr:row>
      <xdr:rowOff>143669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4154" y="6229350"/>
          <a:ext cx="6131299" cy="6458744"/>
        </a:xfrm>
        <a:prstGeom prst="rect">
          <a:avLst/>
        </a:prstGeom>
      </xdr:spPr>
    </xdr:pic>
    <xdr:clientData/>
  </xdr:twoCellAnchor>
  <xdr:twoCellAnchor editAs="oneCell">
    <xdr:from>
      <xdr:col>1</xdr:col>
      <xdr:colOff>11204</xdr:colOff>
      <xdr:row>115</xdr:row>
      <xdr:rowOff>1</xdr:rowOff>
    </xdr:from>
    <xdr:to>
      <xdr:col>5</xdr:col>
      <xdr:colOff>313241</xdr:colOff>
      <xdr:row>133</xdr:row>
      <xdr:rowOff>44825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329" y="19688176"/>
          <a:ext cx="6521862" cy="2959474"/>
        </a:xfrm>
        <a:prstGeom prst="rect">
          <a:avLst/>
        </a:prstGeom>
      </xdr:spPr>
    </xdr:pic>
    <xdr:clientData/>
  </xdr:twoCellAnchor>
  <xdr:twoCellAnchor>
    <xdr:from>
      <xdr:col>4</xdr:col>
      <xdr:colOff>818030</xdr:colOff>
      <xdr:row>58</xdr:row>
      <xdr:rowOff>33617</xdr:rowOff>
    </xdr:from>
    <xdr:to>
      <xdr:col>5</xdr:col>
      <xdr:colOff>81837</xdr:colOff>
      <xdr:row>60</xdr:row>
      <xdr:rowOff>22761</xdr:rowOff>
    </xdr:to>
    <xdr:sp macro="" textlink="">
      <xdr:nvSpPr>
        <xdr:cNvPr id="7" name="직사각형 6"/>
        <xdr:cNvSpPr/>
      </xdr:nvSpPr>
      <xdr:spPr>
        <a:xfrm>
          <a:off x="5809130" y="10473017"/>
          <a:ext cx="730657" cy="31299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589430</xdr:colOff>
      <xdr:row>85</xdr:row>
      <xdr:rowOff>118781</xdr:rowOff>
    </xdr:from>
    <xdr:to>
      <xdr:col>4</xdr:col>
      <xdr:colOff>1321207</xdr:colOff>
      <xdr:row>87</xdr:row>
      <xdr:rowOff>107926</xdr:rowOff>
    </xdr:to>
    <xdr:sp macro="" textlink="">
      <xdr:nvSpPr>
        <xdr:cNvPr id="8" name="직사각형 7"/>
        <xdr:cNvSpPr/>
      </xdr:nvSpPr>
      <xdr:spPr>
        <a:xfrm>
          <a:off x="5580530" y="14949206"/>
          <a:ext cx="731777" cy="31299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517713</xdr:colOff>
      <xdr:row>128</xdr:row>
      <xdr:rowOff>103094</xdr:rowOff>
    </xdr:from>
    <xdr:to>
      <xdr:col>4</xdr:col>
      <xdr:colOff>1249490</xdr:colOff>
      <xdr:row>130</xdr:row>
      <xdr:rowOff>92238</xdr:rowOff>
    </xdr:to>
    <xdr:sp macro="" textlink="">
      <xdr:nvSpPr>
        <xdr:cNvPr id="9" name="직사각형 8"/>
        <xdr:cNvSpPr/>
      </xdr:nvSpPr>
      <xdr:spPr>
        <a:xfrm>
          <a:off x="5508813" y="21896294"/>
          <a:ext cx="731777" cy="31299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11207</xdr:colOff>
      <xdr:row>1</xdr:row>
      <xdr:rowOff>201706</xdr:rowOff>
    </xdr:from>
    <xdr:to>
      <xdr:col>52</xdr:col>
      <xdr:colOff>507294</xdr:colOff>
      <xdr:row>53</xdr:row>
      <xdr:rowOff>121672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684883" y="358588"/>
          <a:ext cx="7152381" cy="8257143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10</xdr:row>
      <xdr:rowOff>0</xdr:rowOff>
    </xdr:from>
    <xdr:to>
      <xdr:col>5</xdr:col>
      <xdr:colOff>700295</xdr:colOff>
      <xdr:row>46</xdr:row>
      <xdr:rowOff>11206</xdr:rowOff>
    </xdr:to>
    <xdr:grpSp>
      <xdr:nvGrpSpPr>
        <xdr:cNvPr id="9" name="그룹 8"/>
        <xdr:cNvGrpSpPr/>
      </xdr:nvGrpSpPr>
      <xdr:grpSpPr>
        <a:xfrm>
          <a:off x="235324" y="1725706"/>
          <a:ext cx="6762677" cy="5681382"/>
          <a:chOff x="336175" y="1916205"/>
          <a:chExt cx="6762677" cy="5658971"/>
        </a:xfrm>
      </xdr:grpSpPr>
      <xdr:pic>
        <xdr:nvPicPr>
          <xdr:cNvPr id="10" name="그림 9"/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182" b="1"/>
          <a:stretch/>
        </xdr:blipFill>
        <xdr:spPr>
          <a:xfrm>
            <a:off x="336175" y="1916205"/>
            <a:ext cx="6762677" cy="5658971"/>
          </a:xfrm>
          <a:prstGeom prst="rect">
            <a:avLst/>
          </a:prstGeom>
        </xdr:spPr>
      </xdr:pic>
      <xdr:sp macro="" textlink="">
        <xdr:nvSpPr>
          <xdr:cNvPr id="11" name="직사각형 10"/>
          <xdr:cNvSpPr/>
        </xdr:nvSpPr>
        <xdr:spPr>
          <a:xfrm>
            <a:off x="387723" y="7312958"/>
            <a:ext cx="6649571" cy="228598"/>
          </a:xfrm>
          <a:prstGeom prst="rect">
            <a:avLst/>
          </a:prstGeom>
          <a:noFill/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6</xdr:col>
      <xdr:colOff>0</xdr:colOff>
      <xdr:row>10</xdr:row>
      <xdr:rowOff>0</xdr:rowOff>
    </xdr:from>
    <xdr:to>
      <xdr:col>11</xdr:col>
      <xdr:colOff>752756</xdr:colOff>
      <xdr:row>31</xdr:row>
      <xdr:rowOff>67376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85529" y="1725706"/>
          <a:ext cx="6714286" cy="3361905"/>
        </a:xfrm>
        <a:prstGeom prst="rect">
          <a:avLst/>
        </a:prstGeom>
      </xdr:spPr>
    </xdr:pic>
    <xdr:clientData/>
  </xdr:twoCellAnchor>
  <xdr:twoCellAnchor>
    <xdr:from>
      <xdr:col>6</xdr:col>
      <xdr:colOff>2241</xdr:colOff>
      <xdr:row>23</xdr:row>
      <xdr:rowOff>69475</xdr:rowOff>
    </xdr:from>
    <xdr:to>
      <xdr:col>11</xdr:col>
      <xdr:colOff>717176</xdr:colOff>
      <xdr:row>31</xdr:row>
      <xdr:rowOff>112058</xdr:rowOff>
    </xdr:to>
    <xdr:sp macro="" textlink="">
      <xdr:nvSpPr>
        <xdr:cNvPr id="13" name="직사각형 12"/>
        <xdr:cNvSpPr/>
      </xdr:nvSpPr>
      <xdr:spPr>
        <a:xfrm>
          <a:off x="7487770" y="3834651"/>
          <a:ext cx="6676465" cy="1297642"/>
        </a:xfrm>
        <a:prstGeom prst="rect">
          <a:avLst/>
        </a:prstGeom>
        <a:noFill/>
        <a:ln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201706</xdr:colOff>
      <xdr:row>10</xdr:row>
      <xdr:rowOff>71438</xdr:rowOff>
    </xdr:from>
    <xdr:to>
      <xdr:col>11</xdr:col>
      <xdr:colOff>559590</xdr:colOff>
      <xdr:row>39</xdr:row>
      <xdr:rowOff>1</xdr:rowOff>
    </xdr:to>
    <xdr:grpSp>
      <xdr:nvGrpSpPr>
        <xdr:cNvPr id="2" name="그룹 1"/>
        <xdr:cNvGrpSpPr/>
      </xdr:nvGrpSpPr>
      <xdr:grpSpPr>
        <a:xfrm>
          <a:off x="7930563" y="2588759"/>
          <a:ext cx="6617170" cy="5888492"/>
          <a:chOff x="7300071" y="2917031"/>
          <a:chExt cx="6677866" cy="7060405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300071" y="6500812"/>
            <a:ext cx="6584186" cy="3476624"/>
          </a:xfrm>
          <a:prstGeom prst="rect">
            <a:avLst/>
          </a:prstGeom>
        </xdr:spPr>
      </xdr:pic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310437" y="2917031"/>
            <a:ext cx="6667500" cy="3600953"/>
          </a:xfrm>
          <a:prstGeom prst="rect">
            <a:avLst/>
          </a:prstGeom>
        </xdr:spPr>
      </xdr:pic>
      <xdr:sp macro="" textlink="">
        <xdr:nvSpPr>
          <xdr:cNvPr id="5" name="직사각형 4"/>
          <xdr:cNvSpPr/>
        </xdr:nvSpPr>
        <xdr:spPr>
          <a:xfrm>
            <a:off x="7474744" y="9570243"/>
            <a:ext cx="6241255" cy="347663"/>
          </a:xfrm>
          <a:prstGeom prst="rect">
            <a:avLst/>
          </a:prstGeom>
          <a:noFill/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15</xdr:col>
      <xdr:colOff>226217</xdr:colOff>
      <xdr:row>14</xdr:row>
      <xdr:rowOff>71437</xdr:rowOff>
    </xdr:from>
    <xdr:to>
      <xdr:col>20</xdr:col>
      <xdr:colOff>857249</xdr:colOff>
      <xdr:row>20</xdr:row>
      <xdr:rowOff>198419</xdr:rowOff>
    </xdr:to>
    <xdr:grpSp>
      <xdr:nvGrpSpPr>
        <xdr:cNvPr id="6" name="그룹 5"/>
        <xdr:cNvGrpSpPr/>
      </xdr:nvGrpSpPr>
      <xdr:grpSpPr>
        <a:xfrm>
          <a:off x="17384824" y="3405187"/>
          <a:ext cx="6713425" cy="1365232"/>
          <a:chOff x="18311812" y="2286000"/>
          <a:chExt cx="4677428" cy="1400370"/>
        </a:xfrm>
      </xdr:grpSpPr>
      <xdr:pic>
        <xdr:nvPicPr>
          <xdr:cNvPr id="7" name="그림 6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8311812" y="2286000"/>
            <a:ext cx="4677428" cy="1400370"/>
          </a:xfrm>
          <a:prstGeom prst="rect">
            <a:avLst/>
          </a:prstGeom>
        </xdr:spPr>
      </xdr:pic>
      <xdr:cxnSp macro="">
        <xdr:nvCxnSpPr>
          <xdr:cNvPr id="8" name="직선 연결선 7"/>
          <xdr:cNvCxnSpPr/>
        </xdr:nvCxnSpPr>
        <xdr:spPr>
          <a:xfrm>
            <a:off x="21526500" y="3677298"/>
            <a:ext cx="738187" cy="0"/>
          </a:xfrm>
          <a:prstGeom prst="lin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</xdr:col>
      <xdr:colOff>1012030</xdr:colOff>
      <xdr:row>12</xdr:row>
      <xdr:rowOff>59532</xdr:rowOff>
    </xdr:from>
    <xdr:ext cx="2650842" cy="977289"/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2055" y="3012282"/>
          <a:ext cx="2650842" cy="977289"/>
        </a:xfrm>
        <a:prstGeom prst="rect">
          <a:avLst/>
        </a:prstGeom>
      </xdr:spPr>
    </xdr:pic>
    <xdr:clientData/>
  </xdr:oneCellAnchor>
  <xdr:twoCellAnchor>
    <xdr:from>
      <xdr:col>1</xdr:col>
      <xdr:colOff>797719</xdr:colOff>
      <xdr:row>5</xdr:row>
      <xdr:rowOff>11906</xdr:rowOff>
    </xdr:from>
    <xdr:to>
      <xdr:col>7</xdr:col>
      <xdr:colOff>416719</xdr:colOff>
      <xdr:row>8</xdr:row>
      <xdr:rowOff>369094</xdr:rowOff>
    </xdr:to>
    <xdr:cxnSp macro="">
      <xdr:nvCxnSpPr>
        <xdr:cNvPr id="10" name="직선 화살표 연결선 9"/>
        <xdr:cNvCxnSpPr/>
      </xdr:nvCxnSpPr>
      <xdr:spPr>
        <a:xfrm flipH="1">
          <a:off x="997744" y="1240631"/>
          <a:ext cx="9677400" cy="1052513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1238249</xdr:colOff>
      <xdr:row>5</xdr:row>
      <xdr:rowOff>9525</xdr:rowOff>
    </xdr:from>
    <xdr:to>
      <xdr:col>11</xdr:col>
      <xdr:colOff>497684</xdr:colOff>
      <xdr:row>8</xdr:row>
      <xdr:rowOff>369094</xdr:rowOff>
    </xdr:to>
    <xdr:cxnSp macro="">
      <xdr:nvCxnSpPr>
        <xdr:cNvPr id="11" name="직선 화살표 연결선 10"/>
        <xdr:cNvCxnSpPr/>
      </xdr:nvCxnSpPr>
      <xdr:spPr>
        <a:xfrm flipH="1">
          <a:off x="8963024" y="1238250"/>
          <a:ext cx="5507835" cy="1054894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319081</xdr:colOff>
      <xdr:row>5</xdr:row>
      <xdr:rowOff>0</xdr:rowOff>
    </xdr:from>
    <xdr:to>
      <xdr:col>13</xdr:col>
      <xdr:colOff>59531</xdr:colOff>
      <xdr:row>9</xdr:row>
      <xdr:rowOff>-1</xdr:rowOff>
    </xdr:to>
    <xdr:cxnSp macro="">
      <xdr:nvCxnSpPr>
        <xdr:cNvPr id="12" name="직선 화살표 연결선 11"/>
        <xdr:cNvCxnSpPr/>
      </xdr:nvCxnSpPr>
      <xdr:spPr>
        <a:xfrm>
          <a:off x="15054256" y="1228725"/>
          <a:ext cx="188125" cy="1095374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952500</xdr:colOff>
      <xdr:row>17</xdr:row>
      <xdr:rowOff>202407</xdr:rowOff>
    </xdr:from>
    <xdr:ext cx="4991520" cy="1229844"/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2525" y="4212432"/>
          <a:ext cx="4991520" cy="1229844"/>
        </a:xfrm>
        <a:prstGeom prst="rect">
          <a:avLst/>
        </a:prstGeom>
      </xdr:spPr>
    </xdr:pic>
    <xdr:clientData/>
  </xdr:oneCellAnchor>
  <xdr:twoCellAnchor>
    <xdr:from>
      <xdr:col>1</xdr:col>
      <xdr:colOff>821531</xdr:colOff>
      <xdr:row>5</xdr:row>
      <xdr:rowOff>11907</xdr:rowOff>
    </xdr:from>
    <xdr:to>
      <xdr:col>10</xdr:col>
      <xdr:colOff>333378</xdr:colOff>
      <xdr:row>25</xdr:row>
      <xdr:rowOff>0</xdr:rowOff>
    </xdr:to>
    <xdr:cxnSp macro="">
      <xdr:nvCxnSpPr>
        <xdr:cNvPr id="14" name="직선 화살표 연결선 13"/>
        <xdr:cNvCxnSpPr/>
      </xdr:nvCxnSpPr>
      <xdr:spPr>
        <a:xfrm flipH="1">
          <a:off x="1021556" y="1240632"/>
          <a:ext cx="12522997" cy="4445793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20</xdr:col>
      <xdr:colOff>625928</xdr:colOff>
      <xdr:row>1</xdr:row>
      <xdr:rowOff>108857</xdr:rowOff>
    </xdr:from>
    <xdr:to>
      <xdr:col>32</xdr:col>
      <xdr:colOff>49452</xdr:colOff>
      <xdr:row>39</xdr:row>
      <xdr:rowOff>92857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838353" y="318407"/>
          <a:ext cx="7119724" cy="8413625"/>
        </a:xfrm>
        <a:prstGeom prst="rect">
          <a:avLst/>
        </a:prstGeom>
      </xdr:spPr>
    </xdr:pic>
    <xdr:clientData/>
  </xdr:twoCellAnchor>
  <xdr:twoCellAnchor editAs="oneCell">
    <xdr:from>
      <xdr:col>1</xdr:col>
      <xdr:colOff>170090</xdr:colOff>
      <xdr:row>37</xdr:row>
      <xdr:rowOff>190499</xdr:rowOff>
    </xdr:from>
    <xdr:to>
      <xdr:col>4</xdr:col>
      <xdr:colOff>1074964</xdr:colOff>
      <xdr:row>52</xdr:row>
      <xdr:rowOff>178262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115" y="8410574"/>
          <a:ext cx="7086599" cy="3131013"/>
        </a:xfrm>
        <a:prstGeom prst="rect">
          <a:avLst/>
        </a:prstGeom>
      </xdr:spPr>
    </xdr:pic>
    <xdr:clientData/>
  </xdr:twoCellAnchor>
  <xdr:twoCellAnchor editAs="oneCell">
    <xdr:from>
      <xdr:col>1</xdr:col>
      <xdr:colOff>68036</xdr:colOff>
      <xdr:row>53</xdr:row>
      <xdr:rowOff>163286</xdr:rowOff>
    </xdr:from>
    <xdr:to>
      <xdr:col>4</xdr:col>
      <xdr:colOff>662668</xdr:colOff>
      <xdr:row>86</xdr:row>
      <xdr:rowOff>76200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061" y="11736161"/>
          <a:ext cx="6776357" cy="6828064"/>
        </a:xfrm>
        <a:prstGeom prst="rect">
          <a:avLst/>
        </a:prstGeom>
      </xdr:spPr>
    </xdr:pic>
    <xdr:clientData/>
  </xdr:twoCellAnchor>
  <xdr:twoCellAnchor editAs="oneCell">
    <xdr:from>
      <xdr:col>4</xdr:col>
      <xdr:colOff>843964</xdr:colOff>
      <xdr:row>53</xdr:row>
      <xdr:rowOff>122786</xdr:rowOff>
    </xdr:from>
    <xdr:to>
      <xdr:col>10</xdr:col>
      <xdr:colOff>743271</xdr:colOff>
      <xdr:row>87</xdr:row>
      <xdr:rowOff>184018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5714" y="11695661"/>
          <a:ext cx="6728732" cy="7185932"/>
        </a:xfrm>
        <a:prstGeom prst="rect">
          <a:avLst/>
        </a:prstGeom>
      </xdr:spPr>
    </xdr:pic>
    <xdr:clientData/>
  </xdr:twoCellAnchor>
  <xdr:twoCellAnchor>
    <xdr:from>
      <xdr:col>3</xdr:col>
      <xdr:colOff>1404735</xdr:colOff>
      <xdr:row>84</xdr:row>
      <xdr:rowOff>180993</xdr:rowOff>
    </xdr:from>
    <xdr:to>
      <xdr:col>4</xdr:col>
      <xdr:colOff>671653</xdr:colOff>
      <xdr:row>86</xdr:row>
      <xdr:rowOff>65636</xdr:rowOff>
    </xdr:to>
    <xdr:sp macro="" textlink="">
      <xdr:nvSpPr>
        <xdr:cNvPr id="19" name="직사각형 18"/>
        <xdr:cNvSpPr/>
      </xdr:nvSpPr>
      <xdr:spPr>
        <a:xfrm>
          <a:off x="6319635" y="18249918"/>
          <a:ext cx="733768" cy="30374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61950</xdr:colOff>
      <xdr:row>80</xdr:row>
      <xdr:rowOff>30032</xdr:rowOff>
    </xdr:from>
    <xdr:to>
      <xdr:col>11</xdr:col>
      <xdr:colOff>34839</xdr:colOff>
      <xdr:row>81</xdr:row>
      <xdr:rowOff>118782</xdr:rowOff>
    </xdr:to>
    <xdr:sp macro="" textlink="">
      <xdr:nvSpPr>
        <xdr:cNvPr id="20" name="직사각형 19"/>
        <xdr:cNvSpPr/>
      </xdr:nvSpPr>
      <xdr:spPr>
        <a:xfrm>
          <a:off x="13273125" y="17260757"/>
          <a:ext cx="734889" cy="2983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672354</xdr:colOff>
      <xdr:row>4</xdr:row>
      <xdr:rowOff>22412</xdr:rowOff>
    </xdr:from>
    <xdr:to>
      <xdr:col>7</xdr:col>
      <xdr:colOff>683558</xdr:colOff>
      <xdr:row>6</xdr:row>
      <xdr:rowOff>100853</xdr:rowOff>
    </xdr:to>
    <xdr:cxnSp macro="">
      <xdr:nvCxnSpPr>
        <xdr:cNvPr id="18" name="직선 화살표 연결선 17"/>
        <xdr:cNvCxnSpPr/>
      </xdr:nvCxnSpPr>
      <xdr:spPr>
        <a:xfrm flipH="1">
          <a:off x="910479" y="803462"/>
          <a:ext cx="8659904" cy="402291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324971</xdr:colOff>
      <xdr:row>4</xdr:row>
      <xdr:rowOff>11206</xdr:rowOff>
    </xdr:from>
    <xdr:to>
      <xdr:col>8</xdr:col>
      <xdr:colOff>602042</xdr:colOff>
      <xdr:row>6</xdr:row>
      <xdr:rowOff>123265</xdr:rowOff>
    </xdr:to>
    <xdr:cxnSp macro="">
      <xdr:nvCxnSpPr>
        <xdr:cNvPr id="19" name="직선 화살표 연결선 18"/>
        <xdr:cNvCxnSpPr/>
      </xdr:nvCxnSpPr>
      <xdr:spPr>
        <a:xfrm flipH="1">
          <a:off x="7916396" y="792256"/>
          <a:ext cx="2734521" cy="435909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885264</xdr:colOff>
      <xdr:row>19</xdr:row>
      <xdr:rowOff>22412</xdr:rowOff>
    </xdr:from>
    <xdr:to>
      <xdr:col>10</xdr:col>
      <xdr:colOff>324970</xdr:colOff>
      <xdr:row>31</xdr:row>
      <xdr:rowOff>2802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76689" y="3575237"/>
          <a:ext cx="4059331" cy="1918447"/>
        </a:xfrm>
        <a:prstGeom prst="rect">
          <a:avLst/>
        </a:prstGeom>
      </xdr:spPr>
    </xdr:pic>
    <xdr:clientData/>
  </xdr:twoCellAnchor>
  <xdr:twoCellAnchor>
    <xdr:from>
      <xdr:col>6</xdr:col>
      <xdr:colOff>392206</xdr:colOff>
      <xdr:row>3</xdr:row>
      <xdr:rowOff>174812</xdr:rowOff>
    </xdr:from>
    <xdr:to>
      <xdr:col>11</xdr:col>
      <xdr:colOff>474296</xdr:colOff>
      <xdr:row>17</xdr:row>
      <xdr:rowOff>156883</xdr:rowOff>
    </xdr:to>
    <xdr:cxnSp macro="">
      <xdr:nvCxnSpPr>
        <xdr:cNvPr id="21" name="직선 화살표 연결선 20"/>
        <xdr:cNvCxnSpPr/>
      </xdr:nvCxnSpPr>
      <xdr:spPr>
        <a:xfrm flipH="1">
          <a:off x="7983631" y="774887"/>
          <a:ext cx="5473240" cy="2553821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302559</xdr:colOff>
      <xdr:row>4</xdr:row>
      <xdr:rowOff>13448</xdr:rowOff>
    </xdr:from>
    <xdr:to>
      <xdr:col>12</xdr:col>
      <xdr:colOff>223286</xdr:colOff>
      <xdr:row>32</xdr:row>
      <xdr:rowOff>145676</xdr:rowOff>
    </xdr:to>
    <xdr:cxnSp macro="">
      <xdr:nvCxnSpPr>
        <xdr:cNvPr id="22" name="직선 화살표 연결선 21"/>
        <xdr:cNvCxnSpPr/>
      </xdr:nvCxnSpPr>
      <xdr:spPr>
        <a:xfrm flipH="1">
          <a:off x="7893984" y="794498"/>
          <a:ext cx="6083402" cy="5056653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11206</xdr:colOff>
      <xdr:row>39</xdr:row>
      <xdr:rowOff>11206</xdr:rowOff>
    </xdr:from>
    <xdr:to>
      <xdr:col>14</xdr:col>
      <xdr:colOff>0</xdr:colOff>
      <xdr:row>47</xdr:row>
      <xdr:rowOff>124386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02631" y="6973981"/>
          <a:ext cx="7103969" cy="1408580"/>
        </a:xfrm>
        <a:prstGeom prst="rect">
          <a:avLst/>
        </a:prstGeom>
      </xdr:spPr>
    </xdr:pic>
    <xdr:clientData/>
  </xdr:twoCellAnchor>
  <xdr:twoCellAnchor editAs="oneCell">
    <xdr:from>
      <xdr:col>17</xdr:col>
      <xdr:colOff>403412</xdr:colOff>
      <xdr:row>0</xdr:row>
      <xdr:rowOff>123264</xdr:rowOff>
    </xdr:from>
    <xdr:to>
      <xdr:col>29</xdr:col>
      <xdr:colOff>238352</xdr:colOff>
      <xdr:row>51</xdr:row>
      <xdr:rowOff>117750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91437" y="123264"/>
          <a:ext cx="7197765" cy="8386011"/>
        </a:xfrm>
        <a:prstGeom prst="rect">
          <a:avLst/>
        </a:prstGeom>
      </xdr:spPr>
    </xdr:pic>
    <xdr:clientData/>
  </xdr:twoCellAnchor>
  <xdr:twoCellAnchor editAs="oneCell">
    <xdr:from>
      <xdr:col>1</xdr:col>
      <xdr:colOff>56031</xdr:colOff>
      <xdr:row>12</xdr:row>
      <xdr:rowOff>11205</xdr:rowOff>
    </xdr:from>
    <xdr:to>
      <xdr:col>4</xdr:col>
      <xdr:colOff>1277471</xdr:colOff>
      <xdr:row>27</xdr:row>
      <xdr:rowOff>43962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4156" y="2325780"/>
          <a:ext cx="5974415" cy="2461632"/>
        </a:xfrm>
        <a:prstGeom prst="rect">
          <a:avLst/>
        </a:prstGeom>
      </xdr:spPr>
    </xdr:pic>
    <xdr:clientData/>
  </xdr:twoCellAnchor>
  <xdr:twoCellAnchor>
    <xdr:from>
      <xdr:col>1</xdr:col>
      <xdr:colOff>638735</xdr:colOff>
      <xdr:row>3</xdr:row>
      <xdr:rowOff>174812</xdr:rowOff>
    </xdr:from>
    <xdr:to>
      <xdr:col>9</xdr:col>
      <xdr:colOff>484100</xdr:colOff>
      <xdr:row>27</xdr:row>
      <xdr:rowOff>112059</xdr:rowOff>
    </xdr:to>
    <xdr:cxnSp macro="">
      <xdr:nvCxnSpPr>
        <xdr:cNvPr id="26" name="직선 화살표 연결선 25"/>
        <xdr:cNvCxnSpPr/>
      </xdr:nvCxnSpPr>
      <xdr:spPr>
        <a:xfrm flipH="1">
          <a:off x="876860" y="774887"/>
          <a:ext cx="10865790" cy="4185397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818029</xdr:colOff>
      <xdr:row>30</xdr:row>
      <xdr:rowOff>89648</xdr:rowOff>
    </xdr:from>
    <xdr:to>
      <xdr:col>4</xdr:col>
      <xdr:colOff>1322294</xdr:colOff>
      <xdr:row>37</xdr:row>
      <xdr:rowOff>24239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56154" y="5471273"/>
          <a:ext cx="5257240" cy="1068066"/>
        </a:xfrm>
        <a:prstGeom prst="rect">
          <a:avLst/>
        </a:prstGeom>
      </xdr:spPr>
    </xdr:pic>
    <xdr:clientData/>
  </xdr:twoCellAnchor>
  <xdr:twoCellAnchor>
    <xdr:from>
      <xdr:col>1</xdr:col>
      <xdr:colOff>638735</xdr:colOff>
      <xdr:row>4</xdr:row>
      <xdr:rowOff>11207</xdr:rowOff>
    </xdr:from>
    <xdr:to>
      <xdr:col>10</xdr:col>
      <xdr:colOff>410138</xdr:colOff>
      <xdr:row>37</xdr:row>
      <xdr:rowOff>123265</xdr:rowOff>
    </xdr:to>
    <xdr:cxnSp macro="">
      <xdr:nvCxnSpPr>
        <xdr:cNvPr id="28" name="직선 화살표 연결선 27"/>
        <xdr:cNvCxnSpPr/>
      </xdr:nvCxnSpPr>
      <xdr:spPr>
        <a:xfrm flipH="1">
          <a:off x="876860" y="792257"/>
          <a:ext cx="11744328" cy="5912783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57</xdr:row>
      <xdr:rowOff>0</xdr:rowOff>
    </xdr:from>
    <xdr:to>
      <xdr:col>4</xdr:col>
      <xdr:colOff>1378323</xdr:colOff>
      <xdr:row>82</xdr:row>
      <xdr:rowOff>33618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76350" y="9953625"/>
          <a:ext cx="5093073" cy="4081743"/>
        </a:xfrm>
        <a:prstGeom prst="rect">
          <a:avLst/>
        </a:prstGeom>
      </xdr:spPr>
    </xdr:pic>
    <xdr:clientData/>
  </xdr:twoCellAnchor>
  <xdr:twoCellAnchor>
    <xdr:from>
      <xdr:col>2</xdr:col>
      <xdr:colOff>11205</xdr:colOff>
      <xdr:row>41</xdr:row>
      <xdr:rowOff>78441</xdr:rowOff>
    </xdr:from>
    <xdr:to>
      <xdr:col>4</xdr:col>
      <xdr:colOff>1199029</xdr:colOff>
      <xdr:row>54</xdr:row>
      <xdr:rowOff>78442</xdr:rowOff>
    </xdr:to>
    <xdr:grpSp>
      <xdr:nvGrpSpPr>
        <xdr:cNvPr id="30" name="그룹 29"/>
        <xdr:cNvGrpSpPr/>
      </xdr:nvGrpSpPr>
      <xdr:grpSpPr>
        <a:xfrm>
          <a:off x="1288676" y="7328647"/>
          <a:ext cx="4908177" cy="2039471"/>
          <a:chOff x="7059705" y="5905500"/>
          <a:chExt cx="6735115" cy="3262671"/>
        </a:xfrm>
      </xdr:grpSpPr>
      <xdr:pic>
        <xdr:nvPicPr>
          <xdr:cNvPr id="31" name="그림 30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059706" y="5905500"/>
            <a:ext cx="6716062" cy="2753109"/>
          </a:xfrm>
          <a:prstGeom prst="rect">
            <a:avLst/>
          </a:prstGeom>
        </xdr:spPr>
      </xdr:pic>
      <xdr:pic>
        <xdr:nvPicPr>
          <xdr:cNvPr id="32" name="그림 31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7059705" y="8606118"/>
            <a:ext cx="6735115" cy="562053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986118</xdr:colOff>
      <xdr:row>86</xdr:row>
      <xdr:rowOff>11206</xdr:rowOff>
    </xdr:from>
    <xdr:to>
      <xdr:col>4</xdr:col>
      <xdr:colOff>1434351</xdr:colOff>
      <xdr:row>101</xdr:row>
      <xdr:rowOff>33617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243" y="14679706"/>
          <a:ext cx="5201208" cy="24512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851648</xdr:colOff>
      <xdr:row>10</xdr:row>
      <xdr:rowOff>11206</xdr:rowOff>
    </xdr:from>
    <xdr:to>
      <xdr:col>13</xdr:col>
      <xdr:colOff>661147</xdr:colOff>
      <xdr:row>21</xdr:row>
      <xdr:rowOff>44825</xdr:rowOff>
    </xdr:to>
    <xdr:grpSp>
      <xdr:nvGrpSpPr>
        <xdr:cNvPr id="2" name="그룹 1"/>
        <xdr:cNvGrpSpPr/>
      </xdr:nvGrpSpPr>
      <xdr:grpSpPr>
        <a:xfrm>
          <a:off x="7974231" y="1778623"/>
          <a:ext cx="6762749" cy="1843369"/>
          <a:chOff x="7978589" y="1647265"/>
          <a:chExt cx="6757146" cy="1826560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978589" y="1647265"/>
            <a:ext cx="6757146" cy="1826560"/>
          </a:xfrm>
          <a:prstGeom prst="rect">
            <a:avLst/>
          </a:prstGeom>
        </xdr:spPr>
      </xdr:pic>
      <xdr:cxnSp macro="">
        <xdr:nvCxnSpPr>
          <xdr:cNvPr id="4" name="직선 연결선 3"/>
          <xdr:cNvCxnSpPr/>
        </xdr:nvCxnSpPr>
        <xdr:spPr>
          <a:xfrm>
            <a:off x="10455088" y="3036794"/>
            <a:ext cx="4191000" cy="0"/>
          </a:xfrm>
          <a:prstGeom prst="line">
            <a:avLst/>
          </a:prstGeom>
          <a:ln w="190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" name="직선 연결선 4"/>
          <xdr:cNvCxnSpPr/>
        </xdr:nvCxnSpPr>
        <xdr:spPr>
          <a:xfrm>
            <a:off x="8052547" y="3256430"/>
            <a:ext cx="699247" cy="0"/>
          </a:xfrm>
          <a:prstGeom prst="line">
            <a:avLst/>
          </a:prstGeom>
          <a:ln w="190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14</xdr:col>
      <xdr:colOff>123264</xdr:colOff>
      <xdr:row>8</xdr:row>
      <xdr:rowOff>145676</xdr:rowOff>
    </xdr:from>
    <xdr:ext cx="4244790" cy="3543859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29914" y="1555376"/>
          <a:ext cx="4244790" cy="3543859"/>
        </a:xfrm>
        <a:prstGeom prst="rect">
          <a:avLst/>
        </a:prstGeom>
      </xdr:spPr>
    </xdr:pic>
    <xdr:clientData/>
  </xdr:oneCellAnchor>
  <xdr:twoCellAnchor>
    <xdr:from>
      <xdr:col>1</xdr:col>
      <xdr:colOff>493058</xdr:colOff>
      <xdr:row>5</xdr:row>
      <xdr:rowOff>11206</xdr:rowOff>
    </xdr:from>
    <xdr:to>
      <xdr:col>7</xdr:col>
      <xdr:colOff>683560</xdr:colOff>
      <xdr:row>8</xdr:row>
      <xdr:rowOff>100853</xdr:rowOff>
    </xdr:to>
    <xdr:cxnSp macro="">
      <xdr:nvCxnSpPr>
        <xdr:cNvPr id="7" name="직선 화살표 연결선 6"/>
        <xdr:cNvCxnSpPr/>
      </xdr:nvCxnSpPr>
      <xdr:spPr>
        <a:xfrm flipH="1">
          <a:off x="731183" y="925606"/>
          <a:ext cx="8343902" cy="584947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5</xdr:row>
      <xdr:rowOff>1</xdr:rowOff>
    </xdr:from>
    <xdr:to>
      <xdr:col>10</xdr:col>
      <xdr:colOff>376519</xdr:colOff>
      <xdr:row>39</xdr:row>
      <xdr:rowOff>134471</xdr:rowOff>
    </xdr:to>
    <xdr:cxnSp macro="">
      <xdr:nvCxnSpPr>
        <xdr:cNvPr id="8" name="직선 화살표 연결선 7"/>
        <xdr:cNvCxnSpPr/>
      </xdr:nvCxnSpPr>
      <xdr:spPr>
        <a:xfrm flipH="1">
          <a:off x="809625" y="914401"/>
          <a:ext cx="11168344" cy="5754220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840441</xdr:colOff>
      <xdr:row>5</xdr:row>
      <xdr:rowOff>22412</xdr:rowOff>
    </xdr:from>
    <xdr:to>
      <xdr:col>11</xdr:col>
      <xdr:colOff>456367</xdr:colOff>
      <xdr:row>8</xdr:row>
      <xdr:rowOff>100853</xdr:rowOff>
    </xdr:to>
    <xdr:cxnSp macro="">
      <xdr:nvCxnSpPr>
        <xdr:cNvPr id="9" name="직선 화살표 연결선 8"/>
        <xdr:cNvCxnSpPr/>
      </xdr:nvCxnSpPr>
      <xdr:spPr>
        <a:xfrm flipH="1">
          <a:off x="7965141" y="936812"/>
          <a:ext cx="4988026" cy="573741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907677</xdr:colOff>
      <xdr:row>21</xdr:row>
      <xdr:rowOff>89646</xdr:rowOff>
    </xdr:from>
    <xdr:to>
      <xdr:col>13</xdr:col>
      <xdr:colOff>862854</xdr:colOff>
      <xdr:row>39</xdr:row>
      <xdr:rowOff>89647</xdr:rowOff>
    </xdr:to>
    <xdr:grpSp>
      <xdr:nvGrpSpPr>
        <xdr:cNvPr id="10" name="그룹 9"/>
        <xdr:cNvGrpSpPr/>
      </xdr:nvGrpSpPr>
      <xdr:grpSpPr>
        <a:xfrm>
          <a:off x="8030260" y="3666813"/>
          <a:ext cx="6908427" cy="2857501"/>
          <a:chOff x="7933764" y="3753970"/>
          <a:chExt cx="7182971" cy="2823883"/>
        </a:xfrm>
      </xdr:grpSpPr>
      <xdr:pic>
        <xdr:nvPicPr>
          <xdr:cNvPr id="11" name="그림 10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933764" y="3753970"/>
            <a:ext cx="7182971" cy="2823883"/>
          </a:xfrm>
          <a:prstGeom prst="rect">
            <a:avLst/>
          </a:prstGeom>
        </xdr:spPr>
      </xdr:pic>
      <xdr:sp macro="" textlink="">
        <xdr:nvSpPr>
          <xdr:cNvPr id="12" name="직사각형 11"/>
          <xdr:cNvSpPr/>
        </xdr:nvSpPr>
        <xdr:spPr>
          <a:xfrm>
            <a:off x="8729382" y="6084794"/>
            <a:ext cx="3208523" cy="198241"/>
          </a:xfrm>
          <a:prstGeom prst="rect">
            <a:avLst/>
          </a:prstGeom>
          <a:noFill/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oneCellAnchor>
    <xdr:from>
      <xdr:col>14</xdr:col>
      <xdr:colOff>235324</xdr:colOff>
      <xdr:row>34</xdr:row>
      <xdr:rowOff>33618</xdr:rowOff>
    </xdr:from>
    <xdr:ext cx="4390464" cy="4337236"/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1974" y="5758143"/>
          <a:ext cx="4390464" cy="4337236"/>
        </a:xfrm>
        <a:prstGeom prst="rect">
          <a:avLst/>
        </a:prstGeom>
      </xdr:spPr>
    </xdr:pic>
    <xdr:clientData/>
  </xdr:oneCellAnchor>
  <xdr:oneCellAnchor>
    <xdr:from>
      <xdr:col>1</xdr:col>
      <xdr:colOff>304800</xdr:colOff>
      <xdr:row>12</xdr:row>
      <xdr:rowOff>0</xdr:rowOff>
    </xdr:from>
    <xdr:ext cx="5191850" cy="3715268"/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2925" y="2162175"/>
          <a:ext cx="5191850" cy="3715268"/>
        </a:xfrm>
        <a:prstGeom prst="rect">
          <a:avLst/>
        </a:prstGeom>
      </xdr:spPr>
    </xdr:pic>
    <xdr:clientData/>
  </xdr:oneCellAnchor>
  <xdr:twoCellAnchor editAs="oneCell">
    <xdr:from>
      <xdr:col>1</xdr:col>
      <xdr:colOff>63500</xdr:colOff>
      <xdr:row>43</xdr:row>
      <xdr:rowOff>42333</xdr:rowOff>
    </xdr:from>
    <xdr:to>
      <xdr:col>4</xdr:col>
      <xdr:colOff>1164167</xdr:colOff>
      <xdr:row>62</xdr:row>
      <xdr:rowOff>89130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625" y="7328958"/>
          <a:ext cx="5434542" cy="3123372"/>
        </a:xfrm>
        <a:prstGeom prst="rect">
          <a:avLst/>
        </a:prstGeom>
      </xdr:spPr>
    </xdr:pic>
    <xdr:clientData/>
  </xdr:twoCellAnchor>
  <xdr:twoCellAnchor>
    <xdr:from>
      <xdr:col>4</xdr:col>
      <xdr:colOff>632884</xdr:colOff>
      <xdr:row>61</xdr:row>
      <xdr:rowOff>4235</xdr:rowOff>
    </xdr:from>
    <xdr:to>
      <xdr:col>4</xdr:col>
      <xdr:colOff>1284529</xdr:colOff>
      <xdr:row>62</xdr:row>
      <xdr:rowOff>54415</xdr:rowOff>
    </xdr:to>
    <xdr:sp macro="" textlink="">
      <xdr:nvSpPr>
        <xdr:cNvPr id="16" name="직사각형 15"/>
        <xdr:cNvSpPr/>
      </xdr:nvSpPr>
      <xdr:spPr>
        <a:xfrm>
          <a:off x="5204884" y="10205510"/>
          <a:ext cx="651645" cy="21210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158749</xdr:colOff>
      <xdr:row>63</xdr:row>
      <xdr:rowOff>84667</xdr:rowOff>
    </xdr:from>
    <xdr:to>
      <xdr:col>4</xdr:col>
      <xdr:colOff>1121833</xdr:colOff>
      <xdr:row>97</xdr:row>
      <xdr:rowOff>127149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6874" y="10609792"/>
          <a:ext cx="5296959" cy="5595557"/>
        </a:xfrm>
        <a:prstGeom prst="rect">
          <a:avLst/>
        </a:prstGeom>
      </xdr:spPr>
    </xdr:pic>
    <xdr:clientData/>
  </xdr:twoCellAnchor>
  <xdr:twoCellAnchor>
    <xdr:from>
      <xdr:col>4</xdr:col>
      <xdr:colOff>541867</xdr:colOff>
      <xdr:row>96</xdr:row>
      <xdr:rowOff>50801</xdr:rowOff>
    </xdr:from>
    <xdr:to>
      <xdr:col>4</xdr:col>
      <xdr:colOff>1193512</xdr:colOff>
      <xdr:row>97</xdr:row>
      <xdr:rowOff>90398</xdr:rowOff>
    </xdr:to>
    <xdr:sp macro="" textlink="">
      <xdr:nvSpPr>
        <xdr:cNvPr id="18" name="직사각형 17"/>
        <xdr:cNvSpPr/>
      </xdr:nvSpPr>
      <xdr:spPr>
        <a:xfrm>
          <a:off x="5113867" y="15957551"/>
          <a:ext cx="651645" cy="21104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84668</xdr:colOff>
      <xdr:row>98</xdr:row>
      <xdr:rowOff>42335</xdr:rowOff>
    </xdr:from>
    <xdr:to>
      <xdr:col>5</xdr:col>
      <xdr:colOff>152477</xdr:colOff>
      <xdr:row>113</xdr:row>
      <xdr:rowOff>84668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793" y="16291985"/>
          <a:ext cx="5706609" cy="2518833"/>
        </a:xfrm>
        <a:prstGeom prst="rect">
          <a:avLst/>
        </a:prstGeom>
      </xdr:spPr>
    </xdr:pic>
    <xdr:clientData/>
  </xdr:twoCellAnchor>
  <xdr:twoCellAnchor>
    <xdr:from>
      <xdr:col>2</xdr:col>
      <xdr:colOff>1988843</xdr:colOff>
      <xdr:row>109</xdr:row>
      <xdr:rowOff>129485</xdr:rowOff>
    </xdr:from>
    <xdr:to>
      <xdr:col>3</xdr:col>
      <xdr:colOff>264841</xdr:colOff>
      <xdr:row>111</xdr:row>
      <xdr:rowOff>14286</xdr:rowOff>
    </xdr:to>
    <xdr:sp macro="" textlink="">
      <xdr:nvSpPr>
        <xdr:cNvPr id="20" name="직사각형 19"/>
        <xdr:cNvSpPr/>
      </xdr:nvSpPr>
      <xdr:spPr>
        <a:xfrm>
          <a:off x="3265193" y="18207935"/>
          <a:ext cx="657248" cy="20865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1412083</xdr:colOff>
      <xdr:row>3</xdr:row>
      <xdr:rowOff>1774032</xdr:rowOff>
    </xdr:from>
    <xdr:to>
      <xdr:col>30</xdr:col>
      <xdr:colOff>540545</xdr:colOff>
      <xdr:row>7</xdr:row>
      <xdr:rowOff>11906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15833" y="2383632"/>
          <a:ext cx="6024562" cy="1476374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8</xdr:row>
      <xdr:rowOff>116417</xdr:rowOff>
    </xdr:from>
    <xdr:to>
      <xdr:col>4</xdr:col>
      <xdr:colOff>500062</xdr:colOff>
      <xdr:row>30</xdr:row>
      <xdr:rowOff>90487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3838" y="4126442"/>
          <a:ext cx="4352924" cy="3536420"/>
        </a:xfrm>
        <a:prstGeom prst="rect">
          <a:avLst/>
        </a:prstGeom>
      </xdr:spPr>
    </xdr:pic>
    <xdr:clientData/>
  </xdr:twoCellAnchor>
  <xdr:twoCellAnchor>
    <xdr:from>
      <xdr:col>4</xdr:col>
      <xdr:colOff>212986</xdr:colOff>
      <xdr:row>11</xdr:row>
      <xdr:rowOff>107154</xdr:rowOff>
    </xdr:from>
    <xdr:to>
      <xdr:col>7</xdr:col>
      <xdr:colOff>1190625</xdr:colOff>
      <xdr:row>74</xdr:row>
      <xdr:rowOff>130966</xdr:rowOff>
    </xdr:to>
    <xdr:grpSp>
      <xdr:nvGrpSpPr>
        <xdr:cNvPr id="13" name="그룹 12"/>
        <xdr:cNvGrpSpPr/>
      </xdr:nvGrpSpPr>
      <xdr:grpSpPr>
        <a:xfrm>
          <a:off x="4284924" y="5381623"/>
          <a:ext cx="4740014" cy="10906124"/>
          <a:chOff x="13229166" y="5016500"/>
          <a:chExt cx="4955572" cy="10607846"/>
        </a:xfrm>
      </xdr:grpSpPr>
      <xdr:pic>
        <xdr:nvPicPr>
          <xdr:cNvPr id="14" name="그림 13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229166" y="8519584"/>
            <a:ext cx="4857143" cy="7104762"/>
          </a:xfrm>
          <a:prstGeom prst="rect">
            <a:avLst/>
          </a:prstGeom>
        </xdr:spPr>
      </xdr:pic>
      <xdr:pic>
        <xdr:nvPicPr>
          <xdr:cNvPr id="15" name="그림 14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356167" y="5016500"/>
            <a:ext cx="4828571" cy="3704762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904875</xdr:colOff>
      <xdr:row>4</xdr:row>
      <xdr:rowOff>-1</xdr:rowOff>
    </xdr:from>
    <xdr:to>
      <xdr:col>7</xdr:col>
      <xdr:colOff>738188</xdr:colOff>
      <xdr:row>6</xdr:row>
      <xdr:rowOff>83343</xdr:rowOff>
    </xdr:to>
    <xdr:cxnSp macro="">
      <xdr:nvCxnSpPr>
        <xdr:cNvPr id="16" name="직선 화살표 연결선 15"/>
        <xdr:cNvCxnSpPr/>
      </xdr:nvCxnSpPr>
      <xdr:spPr>
        <a:xfrm flipH="1">
          <a:off x="1057275" y="3362324"/>
          <a:ext cx="7529513" cy="40719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4</xdr:row>
      <xdr:rowOff>9524</xdr:rowOff>
    </xdr:from>
    <xdr:to>
      <xdr:col>11</xdr:col>
      <xdr:colOff>438152</xdr:colOff>
      <xdr:row>5</xdr:row>
      <xdr:rowOff>130968</xdr:rowOff>
    </xdr:to>
    <xdr:cxnSp macro="">
      <xdr:nvCxnSpPr>
        <xdr:cNvPr id="17" name="직선 화살표 연결선 16"/>
        <xdr:cNvCxnSpPr/>
      </xdr:nvCxnSpPr>
      <xdr:spPr>
        <a:xfrm flipH="1">
          <a:off x="10067925" y="3371849"/>
          <a:ext cx="1971677" cy="2833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35718</xdr:colOff>
      <xdr:row>8</xdr:row>
      <xdr:rowOff>95251</xdr:rowOff>
    </xdr:from>
    <xdr:to>
      <xdr:col>14</xdr:col>
      <xdr:colOff>4191000</xdr:colOff>
      <xdr:row>48</xdr:row>
      <xdr:rowOff>107156</xdr:rowOff>
    </xdr:to>
    <xdr:pic>
      <xdr:nvPicPr>
        <xdr:cNvPr id="18" name="그림 17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23"/>
        <a:stretch/>
      </xdr:blipFill>
      <xdr:spPr>
        <a:xfrm>
          <a:off x="9960768" y="4105276"/>
          <a:ext cx="7517607" cy="76414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18</xdr:col>
      <xdr:colOff>1412083</xdr:colOff>
      <xdr:row>3</xdr:row>
      <xdr:rowOff>1774032</xdr:rowOff>
    </xdr:from>
    <xdr:to>
      <xdr:col>19</xdr:col>
      <xdr:colOff>4198144</xdr:colOff>
      <xdr:row>7</xdr:row>
      <xdr:rowOff>11906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948108" y="2383632"/>
          <a:ext cx="6005511" cy="1476374"/>
        </a:xfrm>
        <a:prstGeom prst="rect">
          <a:avLst/>
        </a:prstGeom>
      </xdr:spPr>
    </xdr:pic>
    <xdr:clientData/>
  </xdr:twoCellAnchor>
  <xdr:twoCellAnchor editAs="oneCell">
    <xdr:from>
      <xdr:col>9</xdr:col>
      <xdr:colOff>83344</xdr:colOff>
      <xdr:row>49</xdr:row>
      <xdr:rowOff>95249</xdr:rowOff>
    </xdr:from>
    <xdr:to>
      <xdr:col>14</xdr:col>
      <xdr:colOff>4310062</xdr:colOff>
      <xdr:row>64</xdr:row>
      <xdr:rowOff>119063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08394" y="11896724"/>
          <a:ext cx="7589043" cy="2452689"/>
        </a:xfrm>
        <a:prstGeom prst="rect">
          <a:avLst/>
        </a:prstGeom>
      </xdr:spPr>
    </xdr:pic>
    <xdr:clientData/>
  </xdr:twoCellAnchor>
  <xdr:twoCellAnchor>
    <xdr:from>
      <xdr:col>12</xdr:col>
      <xdr:colOff>242889</xdr:colOff>
      <xdr:row>3</xdr:row>
      <xdr:rowOff>2745580</xdr:rowOff>
    </xdr:from>
    <xdr:to>
      <xdr:col>15</xdr:col>
      <xdr:colOff>285750</xdr:colOff>
      <xdr:row>6</xdr:row>
      <xdr:rowOff>119062</xdr:rowOff>
    </xdr:to>
    <xdr:cxnSp macro="">
      <xdr:nvCxnSpPr>
        <xdr:cNvPr id="21" name="직선 화살표 연결선 20"/>
        <xdr:cNvCxnSpPr/>
      </xdr:nvCxnSpPr>
      <xdr:spPr>
        <a:xfrm>
          <a:off x="12596814" y="3355180"/>
          <a:ext cx="5557836" cy="4500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145674</xdr:colOff>
      <xdr:row>10</xdr:row>
      <xdr:rowOff>22413</xdr:rowOff>
    </xdr:from>
    <xdr:ext cx="3294531" cy="1580028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024" y="1794063"/>
          <a:ext cx="3294531" cy="1580028"/>
        </a:xfrm>
        <a:prstGeom prst="rect">
          <a:avLst/>
        </a:prstGeom>
      </xdr:spPr>
    </xdr:pic>
    <xdr:clientData/>
  </xdr:oneCellAnchor>
  <xdr:twoCellAnchor>
    <xdr:from>
      <xdr:col>1</xdr:col>
      <xdr:colOff>526676</xdr:colOff>
      <xdr:row>4</xdr:row>
      <xdr:rowOff>22412</xdr:rowOff>
    </xdr:from>
    <xdr:to>
      <xdr:col>7</xdr:col>
      <xdr:colOff>762001</xdr:colOff>
      <xdr:row>8</xdr:row>
      <xdr:rowOff>112058</xdr:rowOff>
    </xdr:to>
    <xdr:cxnSp macro="">
      <xdr:nvCxnSpPr>
        <xdr:cNvPr id="3" name="직선 화살표 연결선 2"/>
        <xdr:cNvCxnSpPr/>
      </xdr:nvCxnSpPr>
      <xdr:spPr>
        <a:xfrm flipH="1">
          <a:off x="764801" y="765362"/>
          <a:ext cx="7741025" cy="746871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582705</xdr:colOff>
      <xdr:row>3</xdr:row>
      <xdr:rowOff>152400</xdr:rowOff>
    </xdr:from>
    <xdr:to>
      <xdr:col>10</xdr:col>
      <xdr:colOff>421341</xdr:colOff>
      <xdr:row>21</xdr:row>
      <xdr:rowOff>134470</xdr:rowOff>
    </xdr:to>
    <xdr:cxnSp macro="">
      <xdr:nvCxnSpPr>
        <xdr:cNvPr id="4" name="직선 화살표 연결선 3"/>
        <xdr:cNvCxnSpPr/>
      </xdr:nvCxnSpPr>
      <xdr:spPr>
        <a:xfrm flipH="1">
          <a:off x="820830" y="714375"/>
          <a:ext cx="10620936" cy="3068170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459441</xdr:colOff>
      <xdr:row>3</xdr:row>
      <xdr:rowOff>168089</xdr:rowOff>
    </xdr:from>
    <xdr:to>
      <xdr:col>11</xdr:col>
      <xdr:colOff>467571</xdr:colOff>
      <xdr:row>9</xdr:row>
      <xdr:rowOff>179294</xdr:rowOff>
    </xdr:to>
    <xdr:cxnSp macro="">
      <xdr:nvCxnSpPr>
        <xdr:cNvPr id="5" name="직선 화살표 연결선 4"/>
        <xdr:cNvCxnSpPr/>
      </xdr:nvCxnSpPr>
      <xdr:spPr>
        <a:xfrm flipH="1">
          <a:off x="12441891" y="730064"/>
          <a:ext cx="8130" cy="1011330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11206</xdr:colOff>
      <xdr:row>11</xdr:row>
      <xdr:rowOff>112059</xdr:rowOff>
    </xdr:from>
    <xdr:ext cx="1867161" cy="228632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93656" y="2093259"/>
          <a:ext cx="1867161" cy="228632"/>
        </a:xfrm>
        <a:prstGeom prst="rect">
          <a:avLst/>
        </a:prstGeom>
      </xdr:spPr>
    </xdr:pic>
    <xdr:clientData/>
  </xdr:oneCellAnchor>
  <xdr:oneCellAnchor>
    <xdr:from>
      <xdr:col>11</xdr:col>
      <xdr:colOff>123265</xdr:colOff>
      <xdr:row>13</xdr:row>
      <xdr:rowOff>14566</xdr:rowOff>
    </xdr:from>
    <xdr:ext cx="5010849" cy="2896004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05715" y="2367241"/>
          <a:ext cx="5010849" cy="2896004"/>
        </a:xfrm>
        <a:prstGeom prst="rect">
          <a:avLst/>
        </a:prstGeom>
      </xdr:spPr>
    </xdr:pic>
    <xdr:clientData/>
  </xdr:oneCellAnchor>
  <xdr:twoCellAnchor>
    <xdr:from>
      <xdr:col>11</xdr:col>
      <xdr:colOff>112059</xdr:colOff>
      <xdr:row>26</xdr:row>
      <xdr:rowOff>56031</xdr:rowOff>
    </xdr:from>
    <xdr:to>
      <xdr:col>15</xdr:col>
      <xdr:colOff>739588</xdr:colOff>
      <xdr:row>28</xdr:row>
      <xdr:rowOff>33619</xdr:rowOff>
    </xdr:to>
    <xdr:sp macro="" textlink="">
      <xdr:nvSpPr>
        <xdr:cNvPr id="8" name="직사각형 7"/>
        <xdr:cNvSpPr/>
      </xdr:nvSpPr>
      <xdr:spPr>
        <a:xfrm>
          <a:off x="12094509" y="4618506"/>
          <a:ext cx="4618504" cy="30143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425824</xdr:colOff>
      <xdr:row>3</xdr:row>
      <xdr:rowOff>170329</xdr:rowOff>
    </xdr:from>
    <xdr:to>
      <xdr:col>12</xdr:col>
      <xdr:colOff>517714</xdr:colOff>
      <xdr:row>32</xdr:row>
      <xdr:rowOff>89647</xdr:rowOff>
    </xdr:to>
    <xdr:cxnSp macro="">
      <xdr:nvCxnSpPr>
        <xdr:cNvPr id="9" name="직선 화살표 연결선 8"/>
        <xdr:cNvCxnSpPr/>
      </xdr:nvCxnSpPr>
      <xdr:spPr>
        <a:xfrm flipH="1">
          <a:off x="12408274" y="732304"/>
          <a:ext cx="1053915" cy="4891368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797860</xdr:colOff>
      <xdr:row>64</xdr:row>
      <xdr:rowOff>69480</xdr:rowOff>
    </xdr:from>
    <xdr:to>
      <xdr:col>12</xdr:col>
      <xdr:colOff>385998</xdr:colOff>
      <xdr:row>65</xdr:row>
      <xdr:rowOff>99797</xdr:rowOff>
    </xdr:to>
    <xdr:sp macro="" textlink="">
      <xdr:nvSpPr>
        <xdr:cNvPr id="10" name="직사각형 9"/>
        <xdr:cNvSpPr/>
      </xdr:nvSpPr>
      <xdr:spPr>
        <a:xfrm>
          <a:off x="12780310" y="11232780"/>
          <a:ext cx="550163" cy="19224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268940</xdr:colOff>
      <xdr:row>25</xdr:row>
      <xdr:rowOff>89647</xdr:rowOff>
    </xdr:from>
    <xdr:to>
      <xdr:col>5</xdr:col>
      <xdr:colOff>515470</xdr:colOff>
      <xdr:row>45</xdr:row>
      <xdr:rowOff>191274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7065" y="4490197"/>
          <a:ext cx="5466230" cy="3740177"/>
        </a:xfrm>
        <a:prstGeom prst="rect">
          <a:avLst/>
        </a:prstGeom>
      </xdr:spPr>
    </xdr:pic>
    <xdr:clientData/>
  </xdr:twoCellAnchor>
  <xdr:twoCellAnchor>
    <xdr:from>
      <xdr:col>4</xdr:col>
      <xdr:colOff>1194547</xdr:colOff>
      <xdr:row>44</xdr:row>
      <xdr:rowOff>174813</xdr:rowOff>
    </xdr:from>
    <xdr:to>
      <xdr:col>5</xdr:col>
      <xdr:colOff>510181</xdr:colOff>
      <xdr:row>45</xdr:row>
      <xdr:rowOff>158066</xdr:rowOff>
    </xdr:to>
    <xdr:sp macro="" textlink="">
      <xdr:nvSpPr>
        <xdr:cNvPr id="12" name="직사각형 11"/>
        <xdr:cNvSpPr/>
      </xdr:nvSpPr>
      <xdr:spPr>
        <a:xfrm>
          <a:off x="5347447" y="8004363"/>
          <a:ext cx="620559" cy="19280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291353</xdr:colOff>
      <xdr:row>46</xdr:row>
      <xdr:rowOff>89648</xdr:rowOff>
    </xdr:from>
    <xdr:to>
      <xdr:col>5</xdr:col>
      <xdr:colOff>672353</xdr:colOff>
      <xdr:row>83</xdr:row>
      <xdr:rowOff>87115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478" y="8338298"/>
          <a:ext cx="5600700" cy="6007742"/>
        </a:xfrm>
        <a:prstGeom prst="rect">
          <a:avLst/>
        </a:prstGeom>
      </xdr:spPr>
    </xdr:pic>
    <xdr:clientData/>
  </xdr:twoCellAnchor>
  <xdr:twoCellAnchor>
    <xdr:from>
      <xdr:col>5</xdr:col>
      <xdr:colOff>91888</xdr:colOff>
      <xdr:row>65</xdr:row>
      <xdr:rowOff>147919</xdr:rowOff>
    </xdr:from>
    <xdr:to>
      <xdr:col>5</xdr:col>
      <xdr:colOff>707405</xdr:colOff>
      <xdr:row>67</xdr:row>
      <xdr:rowOff>30319</xdr:rowOff>
    </xdr:to>
    <xdr:sp macro="" textlink="">
      <xdr:nvSpPr>
        <xdr:cNvPr id="14" name="직사각형 13"/>
        <xdr:cNvSpPr/>
      </xdr:nvSpPr>
      <xdr:spPr>
        <a:xfrm>
          <a:off x="5549713" y="11473144"/>
          <a:ext cx="615517" cy="20625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235324</xdr:colOff>
      <xdr:row>84</xdr:row>
      <xdr:rowOff>56029</xdr:rowOff>
    </xdr:from>
    <xdr:to>
      <xdr:col>8</xdr:col>
      <xdr:colOff>56424</xdr:colOff>
      <xdr:row>108</xdr:row>
      <xdr:rowOff>145677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449" y="14476879"/>
          <a:ext cx="8736500" cy="397584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750094</xdr:colOff>
      <xdr:row>7</xdr:row>
      <xdr:rowOff>11907</xdr:rowOff>
    </xdr:from>
    <xdr:to>
      <xdr:col>13</xdr:col>
      <xdr:colOff>400970</xdr:colOff>
      <xdr:row>11</xdr:row>
      <xdr:rowOff>116796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74794" y="1345407"/>
          <a:ext cx="6594601" cy="809739"/>
        </a:xfrm>
        <a:prstGeom prst="rect">
          <a:avLst/>
        </a:prstGeom>
      </xdr:spPr>
    </xdr:pic>
    <xdr:clientData/>
  </xdr:twoCellAnchor>
  <xdr:twoCellAnchor>
    <xdr:from>
      <xdr:col>2</xdr:col>
      <xdr:colOff>1916906</xdr:colOff>
      <xdr:row>4</xdr:row>
      <xdr:rowOff>11206</xdr:rowOff>
    </xdr:from>
    <xdr:to>
      <xdr:col>7</xdr:col>
      <xdr:colOff>683562</xdr:colOff>
      <xdr:row>6</xdr:row>
      <xdr:rowOff>202406</xdr:rowOff>
    </xdr:to>
    <xdr:cxnSp macro="">
      <xdr:nvCxnSpPr>
        <xdr:cNvPr id="3" name="직선 화살표 연결선 2"/>
        <xdr:cNvCxnSpPr/>
      </xdr:nvCxnSpPr>
      <xdr:spPr>
        <a:xfrm flipH="1">
          <a:off x="3193256" y="754156"/>
          <a:ext cx="5881831" cy="572200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840441</xdr:colOff>
      <xdr:row>4</xdr:row>
      <xdr:rowOff>22412</xdr:rowOff>
    </xdr:from>
    <xdr:to>
      <xdr:col>11</xdr:col>
      <xdr:colOff>456367</xdr:colOff>
      <xdr:row>5</xdr:row>
      <xdr:rowOff>100853</xdr:rowOff>
    </xdr:to>
    <xdr:cxnSp macro="">
      <xdr:nvCxnSpPr>
        <xdr:cNvPr id="4" name="직선 화살표 연결선 3"/>
        <xdr:cNvCxnSpPr/>
      </xdr:nvCxnSpPr>
      <xdr:spPr>
        <a:xfrm flipH="1">
          <a:off x="7965141" y="765362"/>
          <a:ext cx="4988026" cy="297516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869156</xdr:colOff>
      <xdr:row>19</xdr:row>
      <xdr:rowOff>35719</xdr:rowOff>
    </xdr:from>
    <xdr:to>
      <xdr:col>12</xdr:col>
      <xdr:colOff>631032</xdr:colOff>
      <xdr:row>24</xdr:row>
      <xdr:rowOff>166687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60681" y="3607594"/>
          <a:ext cx="4762501" cy="1178718"/>
        </a:xfrm>
        <a:prstGeom prst="rect">
          <a:avLst/>
        </a:prstGeom>
      </xdr:spPr>
    </xdr:pic>
    <xdr:clientData/>
  </xdr:twoCellAnchor>
  <xdr:twoCellAnchor>
    <xdr:from>
      <xdr:col>9</xdr:col>
      <xdr:colOff>1051798</xdr:colOff>
      <xdr:row>24</xdr:row>
      <xdr:rowOff>115694</xdr:rowOff>
    </xdr:from>
    <xdr:to>
      <xdr:col>11</xdr:col>
      <xdr:colOff>23812</xdr:colOff>
      <xdr:row>24</xdr:row>
      <xdr:rowOff>115694</xdr:rowOff>
    </xdr:to>
    <xdr:cxnSp macro="">
      <xdr:nvCxnSpPr>
        <xdr:cNvPr id="7" name="직선 연결선 6"/>
        <xdr:cNvCxnSpPr/>
      </xdr:nvCxnSpPr>
      <xdr:spPr>
        <a:xfrm>
          <a:off x="11462623" y="4735319"/>
          <a:ext cx="1057989" cy="0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47626</xdr:colOff>
      <xdr:row>32</xdr:row>
      <xdr:rowOff>23813</xdr:rowOff>
    </xdr:from>
    <xdr:to>
      <xdr:col>13</xdr:col>
      <xdr:colOff>452438</xdr:colOff>
      <xdr:row>47</xdr:row>
      <xdr:rowOff>43994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72326" y="6272213"/>
          <a:ext cx="7348537" cy="2468106"/>
        </a:xfrm>
        <a:prstGeom prst="rect">
          <a:avLst/>
        </a:prstGeom>
      </xdr:spPr>
    </xdr:pic>
    <xdr:clientData/>
  </xdr:twoCellAnchor>
  <xdr:twoCellAnchor>
    <xdr:from>
      <xdr:col>6</xdr:col>
      <xdr:colOff>119062</xdr:colOff>
      <xdr:row>4</xdr:row>
      <xdr:rowOff>4763</xdr:rowOff>
    </xdr:from>
    <xdr:to>
      <xdr:col>12</xdr:col>
      <xdr:colOff>340796</xdr:colOff>
      <xdr:row>14</xdr:row>
      <xdr:rowOff>23812</xdr:rowOff>
    </xdr:to>
    <xdr:cxnSp macro="">
      <xdr:nvCxnSpPr>
        <xdr:cNvPr id="9" name="직선 화살표 연결선 8"/>
        <xdr:cNvCxnSpPr/>
      </xdr:nvCxnSpPr>
      <xdr:spPr>
        <a:xfrm flipH="1">
          <a:off x="7243762" y="747713"/>
          <a:ext cx="6489184" cy="1800224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166148</xdr:colOff>
      <xdr:row>5</xdr:row>
      <xdr:rowOff>95250</xdr:rowOff>
    </xdr:from>
    <xdr:to>
      <xdr:col>26</xdr:col>
      <xdr:colOff>65458</xdr:colOff>
      <xdr:row>33</xdr:row>
      <xdr:rowOff>96686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68298" y="1057275"/>
          <a:ext cx="7195460" cy="54497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13</xdr:col>
      <xdr:colOff>400970</xdr:colOff>
      <xdr:row>9</xdr:row>
      <xdr:rowOff>35719</xdr:rowOff>
    </xdr:from>
    <xdr:to>
      <xdr:col>16</xdr:col>
      <xdr:colOff>107156</xdr:colOff>
      <xdr:row>9</xdr:row>
      <xdr:rowOff>40539</xdr:rowOff>
    </xdr:to>
    <xdr:cxnSp macro="">
      <xdr:nvCxnSpPr>
        <xdr:cNvPr id="11" name="직선 화살표 연결선 10"/>
        <xdr:cNvCxnSpPr>
          <a:stCxn id="2" idx="3"/>
        </xdr:cNvCxnSpPr>
      </xdr:nvCxnSpPr>
      <xdr:spPr>
        <a:xfrm flipV="1">
          <a:off x="14469395" y="1750219"/>
          <a:ext cx="2839911" cy="482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285750</xdr:colOff>
      <xdr:row>23</xdr:row>
      <xdr:rowOff>95250</xdr:rowOff>
    </xdr:from>
    <xdr:to>
      <xdr:col>24</xdr:col>
      <xdr:colOff>523874</xdr:colOff>
      <xdr:row>24</xdr:row>
      <xdr:rowOff>71437</xdr:rowOff>
    </xdr:to>
    <xdr:sp macro="" textlink="">
      <xdr:nvSpPr>
        <xdr:cNvPr id="12" name="직사각형 11"/>
        <xdr:cNvSpPr/>
      </xdr:nvSpPr>
      <xdr:spPr>
        <a:xfrm>
          <a:off x="18097500" y="4505325"/>
          <a:ext cx="5705474" cy="1857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95251</xdr:colOff>
      <xdr:row>7</xdr:row>
      <xdr:rowOff>130969</xdr:rowOff>
    </xdr:from>
    <xdr:to>
      <xdr:col>4</xdr:col>
      <xdr:colOff>1214438</xdr:colOff>
      <xdr:row>15</xdr:row>
      <xdr:rowOff>36695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3376" y="1464469"/>
          <a:ext cx="5453062" cy="1305901"/>
        </a:xfrm>
        <a:prstGeom prst="rect">
          <a:avLst/>
        </a:prstGeom>
      </xdr:spPr>
    </xdr:pic>
    <xdr:clientData/>
  </xdr:twoCellAnchor>
  <xdr:twoCellAnchor>
    <xdr:from>
      <xdr:col>1</xdr:col>
      <xdr:colOff>797719</xdr:colOff>
      <xdr:row>4</xdr:row>
      <xdr:rowOff>1</xdr:rowOff>
    </xdr:from>
    <xdr:to>
      <xdr:col>10</xdr:col>
      <xdr:colOff>376519</xdr:colOff>
      <xdr:row>17</xdr:row>
      <xdr:rowOff>11906</xdr:rowOff>
    </xdr:to>
    <xdr:cxnSp macro="">
      <xdr:nvCxnSpPr>
        <xdr:cNvPr id="20" name="직선 화살표 연결선 19"/>
        <xdr:cNvCxnSpPr/>
      </xdr:nvCxnSpPr>
      <xdr:spPr>
        <a:xfrm flipH="1">
          <a:off x="1035844" y="742951"/>
          <a:ext cx="10942125" cy="2421730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211931</xdr:colOff>
      <xdr:row>27</xdr:row>
      <xdr:rowOff>140494</xdr:rowOff>
    </xdr:from>
    <xdr:to>
      <xdr:col>23</xdr:col>
      <xdr:colOff>450055</xdr:colOff>
      <xdr:row>28</xdr:row>
      <xdr:rowOff>116681</xdr:rowOff>
    </xdr:to>
    <xdr:sp macro="" textlink="">
      <xdr:nvSpPr>
        <xdr:cNvPr id="21" name="직사각형 20"/>
        <xdr:cNvSpPr/>
      </xdr:nvSpPr>
      <xdr:spPr>
        <a:xfrm>
          <a:off x="17414081" y="5388769"/>
          <a:ext cx="5705474" cy="1857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261936</xdr:colOff>
      <xdr:row>68</xdr:row>
      <xdr:rowOff>0</xdr:rowOff>
    </xdr:from>
    <xdr:to>
      <xdr:col>4</xdr:col>
      <xdr:colOff>1190624</xdr:colOff>
      <xdr:row>80</xdr:row>
      <xdr:rowOff>95249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0061" y="12358688"/>
          <a:ext cx="5262563" cy="2095499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37</xdr:row>
      <xdr:rowOff>35718</xdr:rowOff>
    </xdr:from>
    <xdr:to>
      <xdr:col>4</xdr:col>
      <xdr:colOff>1250157</xdr:colOff>
      <xdr:row>65</xdr:row>
      <xdr:rowOff>102565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9563" y="7227093"/>
          <a:ext cx="5512594" cy="4734097"/>
        </a:xfrm>
        <a:prstGeom prst="rect">
          <a:avLst/>
        </a:prstGeom>
      </xdr:spPr>
    </xdr:pic>
    <xdr:clientData/>
  </xdr:twoCellAnchor>
  <xdr:twoCellAnchor editAs="oneCell">
    <xdr:from>
      <xdr:col>1</xdr:col>
      <xdr:colOff>23813</xdr:colOff>
      <xdr:row>20</xdr:row>
      <xdr:rowOff>11906</xdr:rowOff>
    </xdr:from>
    <xdr:to>
      <xdr:col>4</xdr:col>
      <xdr:colOff>1083469</xdr:colOff>
      <xdr:row>34</xdr:row>
      <xdr:rowOff>123774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1938" y="3845719"/>
          <a:ext cx="5393531" cy="296936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881061</xdr:colOff>
      <xdr:row>7</xdr:row>
      <xdr:rowOff>47625</xdr:rowOff>
    </xdr:from>
    <xdr:to>
      <xdr:col>11</xdr:col>
      <xdr:colOff>476248</xdr:colOff>
      <xdr:row>16</xdr:row>
      <xdr:rowOff>59531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05761" y="1323975"/>
          <a:ext cx="4967287" cy="1526381"/>
        </a:xfrm>
        <a:prstGeom prst="rect">
          <a:avLst/>
        </a:prstGeom>
      </xdr:spPr>
    </xdr:pic>
    <xdr:clientData/>
  </xdr:twoCellAnchor>
  <xdr:twoCellAnchor>
    <xdr:from>
      <xdr:col>1</xdr:col>
      <xdr:colOff>493058</xdr:colOff>
      <xdr:row>4</xdr:row>
      <xdr:rowOff>11206</xdr:rowOff>
    </xdr:from>
    <xdr:to>
      <xdr:col>7</xdr:col>
      <xdr:colOff>683560</xdr:colOff>
      <xdr:row>5</xdr:row>
      <xdr:rowOff>100853</xdr:rowOff>
    </xdr:to>
    <xdr:cxnSp macro="">
      <xdr:nvCxnSpPr>
        <xdr:cNvPr id="3" name="직선 화살표 연결선 2"/>
        <xdr:cNvCxnSpPr/>
      </xdr:nvCxnSpPr>
      <xdr:spPr>
        <a:xfrm flipH="1">
          <a:off x="731183" y="754156"/>
          <a:ext cx="8343902" cy="251572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840441</xdr:colOff>
      <xdr:row>4</xdr:row>
      <xdr:rowOff>22412</xdr:rowOff>
    </xdr:from>
    <xdr:to>
      <xdr:col>11</xdr:col>
      <xdr:colOff>456367</xdr:colOff>
      <xdr:row>5</xdr:row>
      <xdr:rowOff>100853</xdr:rowOff>
    </xdr:to>
    <xdr:cxnSp macro="">
      <xdr:nvCxnSpPr>
        <xdr:cNvPr id="4" name="직선 화살표 연결선 3"/>
        <xdr:cNvCxnSpPr/>
      </xdr:nvCxnSpPr>
      <xdr:spPr>
        <a:xfrm flipH="1">
          <a:off x="7965141" y="765362"/>
          <a:ext cx="4988026" cy="240366"/>
        </a:xfrm>
        <a:prstGeom prst="straightConnector1">
          <a:avLst/>
        </a:prstGeom>
        <a:ln>
          <a:solidFill>
            <a:srgbClr val="0070C0"/>
          </a:solidFill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119062</xdr:colOff>
      <xdr:row>4</xdr:row>
      <xdr:rowOff>4763</xdr:rowOff>
    </xdr:from>
    <xdr:to>
      <xdr:col>12</xdr:col>
      <xdr:colOff>340796</xdr:colOff>
      <xdr:row>18</xdr:row>
      <xdr:rowOff>23812</xdr:rowOff>
    </xdr:to>
    <xdr:cxnSp macro="">
      <xdr:nvCxnSpPr>
        <xdr:cNvPr id="5" name="직선 화살표 연결선 4"/>
        <xdr:cNvCxnSpPr/>
      </xdr:nvCxnSpPr>
      <xdr:spPr>
        <a:xfrm flipH="1">
          <a:off x="7243762" y="747713"/>
          <a:ext cx="6489184" cy="2390774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1023937</xdr:colOff>
      <xdr:row>6</xdr:row>
      <xdr:rowOff>47629</xdr:rowOff>
    </xdr:from>
    <xdr:to>
      <xdr:col>4</xdr:col>
      <xdr:colOff>526647</xdr:colOff>
      <xdr:row>13</xdr:row>
      <xdr:rowOff>14463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00287" y="1114429"/>
          <a:ext cx="2798360" cy="1205084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4</xdr:row>
      <xdr:rowOff>1</xdr:rowOff>
    </xdr:from>
    <xdr:to>
      <xdr:col>10</xdr:col>
      <xdr:colOff>376519</xdr:colOff>
      <xdr:row>18</xdr:row>
      <xdr:rowOff>166687</xdr:rowOff>
    </xdr:to>
    <xdr:cxnSp macro="">
      <xdr:nvCxnSpPr>
        <xdr:cNvPr id="7" name="직선 화살표 연결선 6"/>
        <xdr:cNvCxnSpPr/>
      </xdr:nvCxnSpPr>
      <xdr:spPr>
        <a:xfrm flipH="1">
          <a:off x="571500" y="742951"/>
          <a:ext cx="11406469" cy="2538411"/>
        </a:xfrm>
        <a:prstGeom prst="straightConnector1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107157</xdr:colOff>
      <xdr:row>38</xdr:row>
      <xdr:rowOff>11907</xdr:rowOff>
    </xdr:from>
    <xdr:to>
      <xdr:col>15</xdr:col>
      <xdr:colOff>1038773</xdr:colOff>
      <xdr:row>48</xdr:row>
      <xdr:rowOff>142174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31857" y="5641182"/>
          <a:ext cx="9942266" cy="1757361"/>
        </a:xfrm>
        <a:prstGeom prst="rect">
          <a:avLst/>
        </a:prstGeom>
      </xdr:spPr>
    </xdr:pic>
    <xdr:clientData/>
  </xdr:twoCellAnchor>
  <xdr:twoCellAnchor editAs="oneCell">
    <xdr:from>
      <xdr:col>7</xdr:col>
      <xdr:colOff>869158</xdr:colOff>
      <xdr:row>23</xdr:row>
      <xdr:rowOff>11908</xdr:rowOff>
    </xdr:from>
    <xdr:to>
      <xdr:col>12</xdr:col>
      <xdr:colOff>476251</xdr:colOff>
      <xdr:row>28</xdr:row>
      <xdr:rowOff>198911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60683" y="4174333"/>
          <a:ext cx="4607718" cy="1234753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952500</xdr:colOff>
      <xdr:row>29</xdr:row>
      <xdr:rowOff>1</xdr:rowOff>
    </xdr:from>
    <xdr:to>
      <xdr:col>12</xdr:col>
      <xdr:colOff>403413</xdr:colOff>
      <xdr:row>35</xdr:row>
      <xdr:rowOff>56030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36206" y="5390030"/>
          <a:ext cx="4459942" cy="997324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78</xdr:row>
      <xdr:rowOff>0</xdr:rowOff>
    </xdr:from>
    <xdr:to>
      <xdr:col>4</xdr:col>
      <xdr:colOff>1377850</xdr:colOff>
      <xdr:row>90</xdr:row>
      <xdr:rowOff>112059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77472" y="13178118"/>
          <a:ext cx="4683584" cy="1994647"/>
        </a:xfrm>
        <a:prstGeom prst="rect">
          <a:avLst/>
        </a:prstGeom>
      </xdr:spPr>
    </xdr:pic>
    <xdr:clientData/>
  </xdr:twoCellAnchor>
  <xdr:twoCellAnchor editAs="oneCell">
    <xdr:from>
      <xdr:col>1</xdr:col>
      <xdr:colOff>313764</xdr:colOff>
      <xdr:row>22</xdr:row>
      <xdr:rowOff>156882</xdr:rowOff>
    </xdr:from>
    <xdr:to>
      <xdr:col>4</xdr:col>
      <xdr:colOff>1394992</xdr:colOff>
      <xdr:row>43</xdr:row>
      <xdr:rowOff>112058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9088" y="4056529"/>
          <a:ext cx="5429110" cy="3697941"/>
        </a:xfrm>
        <a:prstGeom prst="rect">
          <a:avLst/>
        </a:prstGeom>
      </xdr:spPr>
    </xdr:pic>
    <xdr:clientData/>
  </xdr:twoCellAnchor>
  <xdr:twoCellAnchor editAs="oneCell">
    <xdr:from>
      <xdr:col>1</xdr:col>
      <xdr:colOff>134470</xdr:colOff>
      <xdr:row>49</xdr:row>
      <xdr:rowOff>145676</xdr:rowOff>
    </xdr:from>
    <xdr:to>
      <xdr:col>4</xdr:col>
      <xdr:colOff>1311088</xdr:colOff>
      <xdr:row>75</xdr:row>
      <xdr:rowOff>74738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9794" y="8751794"/>
          <a:ext cx="5524500" cy="400800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9.xml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Relationship Id="rId4" Type="http://schemas.openxmlformats.org/officeDocument/2006/relationships/comments" Target="../comments10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0.bin"/><Relationship Id="rId4" Type="http://schemas.openxmlformats.org/officeDocument/2006/relationships/comments" Target="../comments11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1.bin"/><Relationship Id="rId4" Type="http://schemas.openxmlformats.org/officeDocument/2006/relationships/comments" Target="../comments12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2.bin"/><Relationship Id="rId4" Type="http://schemas.openxmlformats.org/officeDocument/2006/relationships/comments" Target="../comments13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7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8.xml"/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70C0"/>
  </sheetPr>
  <dimension ref="B1:R34"/>
  <sheetViews>
    <sheetView showGridLines="0" tabSelected="1" zoomScaleNormal="100" workbookViewId="0">
      <selection activeCell="F7" sqref="F7"/>
    </sheetView>
  </sheetViews>
  <sheetFormatPr defaultRowHeight="13.5" x14ac:dyDescent="0.2"/>
  <cols>
    <col min="1" max="1" width="3.140625" style="48" customWidth="1"/>
    <col min="2" max="2" width="7.5703125" style="48" customWidth="1"/>
    <col min="3" max="3" width="15.7109375" style="48" customWidth="1"/>
    <col min="4" max="4" width="41.5703125" style="48" customWidth="1"/>
    <col min="5" max="5" width="11.42578125" style="48" customWidth="1"/>
    <col min="6" max="6" width="23.140625" style="48" customWidth="1"/>
    <col min="7" max="9" width="15.42578125" style="48" customWidth="1"/>
    <col min="10" max="10" width="10.5703125" style="48" bestFit="1" customWidth="1"/>
    <col min="11" max="11" width="11.140625" style="48" bestFit="1" customWidth="1"/>
    <col min="12" max="13" width="11.28515625" style="48" bestFit="1" customWidth="1"/>
    <col min="14" max="14" width="6.5703125" style="48" bestFit="1" customWidth="1"/>
    <col min="15" max="15" width="7.42578125" style="48" bestFit="1" customWidth="1"/>
    <col min="16" max="16" width="14" style="48" customWidth="1"/>
    <col min="17" max="17" width="17.42578125" style="48" customWidth="1"/>
    <col min="18" max="16384" width="9.140625" style="48"/>
  </cols>
  <sheetData>
    <row r="1" spans="2:18" x14ac:dyDescent="0.2">
      <c r="Q1" s="251" t="s">
        <v>145</v>
      </c>
      <c r="R1" s="251">
        <f>COUNTIF($R$4:$R$17,Q1)</f>
        <v>6</v>
      </c>
    </row>
    <row r="2" spans="2:18" x14ac:dyDescent="0.2">
      <c r="C2" s="2"/>
      <c r="D2" s="2"/>
      <c r="E2" s="3"/>
      <c r="F2" s="516"/>
      <c r="G2" s="516"/>
      <c r="H2" s="516"/>
      <c r="I2" s="516"/>
      <c r="J2" s="516"/>
      <c r="K2" s="516"/>
      <c r="L2" s="516"/>
      <c r="M2" s="516"/>
      <c r="N2" s="516"/>
      <c r="O2" s="516"/>
      <c r="P2" s="7" t="s">
        <v>22</v>
      </c>
      <c r="Q2" s="251" t="s">
        <v>142</v>
      </c>
      <c r="R2" s="251">
        <f>COUNTIF($R$4:$R$17,Q2)</f>
        <v>7</v>
      </c>
    </row>
    <row r="3" spans="2:18" ht="15.75" thickBot="1" x14ac:dyDescent="0.25">
      <c r="B3" s="252" t="s">
        <v>23</v>
      </c>
      <c r="C3" s="252" t="s">
        <v>24</v>
      </c>
      <c r="D3" s="252" t="s">
        <v>25</v>
      </c>
      <c r="E3" s="253" t="s">
        <v>26</v>
      </c>
      <c r="F3" s="254" t="s">
        <v>148</v>
      </c>
      <c r="G3" s="255" t="s">
        <v>27</v>
      </c>
      <c r="H3" s="253" t="s">
        <v>28</v>
      </c>
      <c r="I3" s="253" t="s">
        <v>29</v>
      </c>
      <c r="J3" s="253" t="s">
        <v>30</v>
      </c>
      <c r="K3" s="254" t="s">
        <v>31</v>
      </c>
      <c r="L3" s="254" t="s">
        <v>32</v>
      </c>
      <c r="M3" s="254" t="s">
        <v>33</v>
      </c>
      <c r="N3" s="256" t="s">
        <v>34</v>
      </c>
      <c r="O3" s="257" t="s">
        <v>35</v>
      </c>
      <c r="P3" s="257" t="s">
        <v>36</v>
      </c>
      <c r="Q3" s="38"/>
      <c r="R3" s="38"/>
    </row>
    <row r="4" spans="2:18" ht="14.25" thickTop="1" x14ac:dyDescent="0.2">
      <c r="B4" s="14">
        <v>1</v>
      </c>
      <c r="C4" s="15" t="s">
        <v>8</v>
      </c>
      <c r="D4" s="15" t="s">
        <v>152</v>
      </c>
      <c r="E4" s="16">
        <v>33090</v>
      </c>
      <c r="F4" s="17">
        <f>SUM('김포 대포'!Q4:Q5)</f>
        <v>9952.6027163379003</v>
      </c>
      <c r="G4" s="513">
        <f>'김포 대포'!F4</f>
        <v>25586.341133827074</v>
      </c>
      <c r="H4" s="513">
        <f>'김포 대포'!G4</f>
        <v>24160.850929015181</v>
      </c>
      <c r="I4" s="513">
        <f>'김포 대포'!H4</f>
        <v>25707.826352412932</v>
      </c>
      <c r="J4" s="515">
        <f>'김포 대포'!I4</f>
        <v>1</v>
      </c>
      <c r="K4" s="513">
        <f>'김포 대포'!J4</f>
        <v>0</v>
      </c>
      <c r="L4" s="515">
        <f>'김포 대포'!K4</f>
        <v>1</v>
      </c>
      <c r="M4" s="513">
        <f>'김포 대포'!L4</f>
        <v>121.48521858585818</v>
      </c>
      <c r="N4" s="514">
        <f>'김포 대포'!M4</f>
        <v>1</v>
      </c>
      <c r="O4" s="514">
        <f>'김포 대포'!N4</f>
        <v>5.9</v>
      </c>
      <c r="P4" s="24" t="s">
        <v>37</v>
      </c>
      <c r="R4" s="248" t="s">
        <v>103</v>
      </c>
    </row>
    <row r="5" spans="2:18" x14ac:dyDescent="0.2">
      <c r="B5" s="14">
        <f>+B4+1</f>
        <v>2</v>
      </c>
      <c r="C5" s="15" t="s">
        <v>16</v>
      </c>
      <c r="D5" s="15" t="s">
        <v>17</v>
      </c>
      <c r="E5" s="229">
        <v>30000</v>
      </c>
      <c r="F5" s="17">
        <f>SUM('오산 외삼미동'!$Q$4:$Q$5)</f>
        <v>7881.0324567169737</v>
      </c>
      <c r="G5" s="513">
        <f>'오산 외삼미동'!F4</f>
        <v>24243.127265602481</v>
      </c>
      <c r="H5" s="513">
        <f>'오산 외삼미동'!G4</f>
        <v>23088.692633907125</v>
      </c>
      <c r="I5" s="513">
        <f>'오산 외삼미동'!H4</f>
        <v>145650</v>
      </c>
      <c r="J5" s="515">
        <f>'오산 외삼미동'!I4</f>
        <v>0.234375</v>
      </c>
      <c r="K5" s="513">
        <f>'오산 외삼미동'!J4</f>
        <v>0</v>
      </c>
      <c r="L5" s="515">
        <f>'오산 외삼미동'!K4</f>
        <v>0.71374616301489546</v>
      </c>
      <c r="M5" s="513">
        <f>'오산 외삼미동'!L4</f>
        <v>519.78564321559759</v>
      </c>
      <c r="N5" s="514">
        <f>'오산 외삼미동'!M4</f>
        <v>1</v>
      </c>
      <c r="O5" s="514">
        <f>'오산 외삼미동'!N4</f>
        <v>5</v>
      </c>
      <c r="P5" s="24" t="s">
        <v>102</v>
      </c>
      <c r="R5" s="248" t="s">
        <v>103</v>
      </c>
    </row>
    <row r="6" spans="2:18" x14ac:dyDescent="0.2">
      <c r="B6" s="14">
        <f t="shared" ref="B6:B11" si="0">+B5+1</f>
        <v>3</v>
      </c>
      <c r="C6" s="15" t="s">
        <v>18</v>
      </c>
      <c r="D6" s="15" t="s">
        <v>19</v>
      </c>
      <c r="E6" s="229">
        <f>39600+1300</f>
        <v>40900</v>
      </c>
      <c r="F6" s="17">
        <f>SUM('파주 운정'!Q4:Q5)</f>
        <v>10099.698400231402</v>
      </c>
      <c r="G6" s="513">
        <f>'파주 운정'!F4</f>
        <v>36420.522860284225</v>
      </c>
      <c r="H6" s="513">
        <f>'파주 운정'!G4</f>
        <v>32257.122514179966</v>
      </c>
      <c r="I6" s="513">
        <f>'파주 운정'!H4</f>
        <v>61450.75</v>
      </c>
      <c r="J6" s="515">
        <f>'파주 운정'!I4</f>
        <v>1</v>
      </c>
      <c r="K6" s="513">
        <f>'파주 운정'!J4</f>
        <v>0</v>
      </c>
      <c r="L6" s="515">
        <f>'파주 운정'!K4</f>
        <v>0.59565653084949699</v>
      </c>
      <c r="M6" s="513">
        <f>'파주 운정'!L4</f>
        <v>183.01770281549864</v>
      </c>
      <c r="N6" s="514">
        <f>'파주 운정'!M4</f>
        <v>2.0833333333333335</v>
      </c>
      <c r="O6" s="514">
        <f>'파주 운정'!N4</f>
        <v>6</v>
      </c>
      <c r="P6" s="24" t="s">
        <v>146</v>
      </c>
      <c r="R6" s="248" t="s">
        <v>104</v>
      </c>
    </row>
    <row r="7" spans="2:18" s="248" customFormat="1" x14ac:dyDescent="0.2">
      <c r="B7" s="14">
        <f t="shared" si="0"/>
        <v>4</v>
      </c>
      <c r="C7" s="15" t="s">
        <v>20</v>
      </c>
      <c r="D7" s="15" t="s">
        <v>21</v>
      </c>
      <c r="E7" s="229">
        <f>20030000000/1000000</f>
        <v>20030</v>
      </c>
      <c r="F7" s="17">
        <f>SUM('강릉 송정동'!Q4)</f>
        <v>1147.3007752509172</v>
      </c>
      <c r="G7" s="18">
        <f>'강릉 송정동'!F4</f>
        <v>20344.73484615385</v>
      </c>
      <c r="H7" s="18">
        <f>'강릉 송정동'!G4</f>
        <v>14758.303224749083</v>
      </c>
      <c r="I7" s="513">
        <f>'강릉 송정동'!H4</f>
        <v>155000</v>
      </c>
      <c r="J7" s="515">
        <f>'강릉 송정동'!I4</f>
        <v>0.47692307692307695</v>
      </c>
      <c r="K7" s="513">
        <f>'강릉 송정동'!J4</f>
        <v>36000</v>
      </c>
      <c r="L7" s="515">
        <f>'강릉 송정동'!K4</f>
        <v>0.50900000000000001</v>
      </c>
      <c r="M7" s="513">
        <f>'강릉 송정동'!L4</f>
        <v>236.685</v>
      </c>
      <c r="N7" s="514">
        <f>'강릉 송정동'!M4</f>
        <v>2.4986301369863013</v>
      </c>
      <c r="O7" s="514">
        <f>'강릉 송정동'!N4</f>
        <v>13.709517200000001</v>
      </c>
      <c r="P7" s="24" t="s">
        <v>2</v>
      </c>
      <c r="Q7" s="248" t="s">
        <v>95</v>
      </c>
      <c r="R7" s="248" t="s">
        <v>143</v>
      </c>
    </row>
    <row r="8" spans="2:18" s="248" customFormat="1" x14ac:dyDescent="0.2">
      <c r="B8" s="14">
        <f t="shared" si="0"/>
        <v>5</v>
      </c>
      <c r="C8" s="15" t="s">
        <v>6</v>
      </c>
      <c r="D8" s="15" t="s">
        <v>7</v>
      </c>
      <c r="E8" s="229">
        <f>10603779187/1000000</f>
        <v>10603.779187</v>
      </c>
      <c r="F8" s="17">
        <f>SUM('김해 대동'!E4:E5)</f>
        <v>0</v>
      </c>
      <c r="G8" s="18">
        <f>'김해 대동'!F5</f>
        <v>23045.123639999998</v>
      </c>
      <c r="H8" s="16">
        <f>'김해 대동'!G5</f>
        <v>22164.10063957682</v>
      </c>
      <c r="I8" s="16">
        <f>'김해 대동'!H5</f>
        <v>457700</v>
      </c>
      <c r="J8" s="515">
        <f>'김해 대동'!I5</f>
        <v>0.17499999999999999</v>
      </c>
      <c r="K8" s="513">
        <f>'김해 대동'!J5</f>
        <v>27000</v>
      </c>
      <c r="L8" s="515">
        <f>'김해 대동'!K5</f>
        <v>0.34949999999999998</v>
      </c>
      <c r="M8" s="513">
        <f>'김해 대동'!L5</f>
        <v>1279.7292</v>
      </c>
      <c r="N8" s="514">
        <f>'김해 대동'!M5</f>
        <v>1</v>
      </c>
      <c r="O8" s="514">
        <f>'김해 대동'!N5</f>
        <v>3.9750000000000001</v>
      </c>
      <c r="P8" s="199" t="s">
        <v>101</v>
      </c>
      <c r="Q8" s="248" t="s">
        <v>95</v>
      </c>
      <c r="R8" s="248" t="s">
        <v>104</v>
      </c>
    </row>
    <row r="9" spans="2:18" s="248" customFormat="1" x14ac:dyDescent="0.2">
      <c r="B9" s="14">
        <f>+B8+1</f>
        <v>6</v>
      </c>
      <c r="C9" s="15" t="s">
        <v>3</v>
      </c>
      <c r="D9" s="15" t="s">
        <v>4</v>
      </c>
      <c r="E9" s="229">
        <v>25308.75</v>
      </c>
      <c r="F9" s="17">
        <f>'남원 관광단지'!E4</f>
        <v>2502.466776357167</v>
      </c>
      <c r="G9" s="18">
        <f>'남원 관광단지'!F4</f>
        <v>24973.25</v>
      </c>
      <c r="H9" s="18">
        <f>'남원 관광단지'!G4</f>
        <v>22806.283223642833</v>
      </c>
      <c r="I9" s="513">
        <f>'남원 관광단지'!H4</f>
        <v>25308.75</v>
      </c>
      <c r="J9" s="515">
        <f>'남원 관광단지'!I4</f>
        <v>1</v>
      </c>
      <c r="K9" s="513">
        <f>'남원 관광단지'!J4</f>
        <v>0</v>
      </c>
      <c r="L9" s="515">
        <f>'남원 관광단지'!K4</f>
        <v>1</v>
      </c>
      <c r="M9" s="513">
        <f>'남원 관광단지'!L4</f>
        <v>335.5</v>
      </c>
      <c r="N9" s="514">
        <f>'남원 관광단지'!M4</f>
        <v>2.4027397260273973</v>
      </c>
      <c r="O9" s="514">
        <f>'남원 관광단지'!N4</f>
        <v>3.85</v>
      </c>
      <c r="P9" s="24" t="s">
        <v>2</v>
      </c>
      <c r="R9" s="248" t="s">
        <v>143</v>
      </c>
    </row>
    <row r="10" spans="2:18" s="248" customFormat="1" x14ac:dyDescent="0.2">
      <c r="B10" s="14">
        <f>B9+1</f>
        <v>7</v>
      </c>
      <c r="C10" s="15" t="s">
        <v>10</v>
      </c>
      <c r="D10" s="15" t="s">
        <v>11</v>
      </c>
      <c r="E10" s="16">
        <f>5800-3900</f>
        <v>1900</v>
      </c>
      <c r="F10" s="17">
        <f>'대전 문화동'!E4</f>
        <v>0</v>
      </c>
      <c r="G10" s="18">
        <f>'대전 문화동'!F4</f>
        <v>5539.0859281153853</v>
      </c>
      <c r="H10" s="18">
        <f>'대전 문화동'!G4</f>
        <v>5140.6610406201407</v>
      </c>
      <c r="I10" s="513">
        <f>'대전 문화동'!H4</f>
        <v>35951.300000000003</v>
      </c>
      <c r="J10" s="515">
        <f>'대전 문화동'!I4</f>
        <v>0.23076923076923078</v>
      </c>
      <c r="K10" s="513">
        <f>'대전 문화동'!J4</f>
        <v>0</v>
      </c>
      <c r="L10" s="515">
        <f>'대전 문화동'!K4</f>
        <v>0.67100000000000004</v>
      </c>
      <c r="M10" s="513">
        <f>'대전 문화동'!L4</f>
        <v>120.61661150000002</v>
      </c>
      <c r="N10" s="514">
        <f>'대전 문화동'!M4</f>
        <v>1.6958904109589041</v>
      </c>
      <c r="O10" s="514">
        <f>'대전 문화동'!N4</f>
        <v>4.5</v>
      </c>
      <c r="P10" s="24" t="s">
        <v>38</v>
      </c>
      <c r="Q10" s="248" t="s">
        <v>95</v>
      </c>
      <c r="R10" s="248" t="s">
        <v>104</v>
      </c>
    </row>
    <row r="11" spans="2:18" s="248" customFormat="1" x14ac:dyDescent="0.2">
      <c r="B11" s="14">
        <f t="shared" si="0"/>
        <v>8</v>
      </c>
      <c r="C11" s="15" t="s">
        <v>14</v>
      </c>
      <c r="D11" s="15" t="s">
        <v>15</v>
      </c>
      <c r="E11" s="16">
        <v>23233.332999999999</v>
      </c>
      <c r="F11" s="17">
        <f>'부산 명지동'!E4</f>
        <v>0</v>
      </c>
      <c r="G11" s="18">
        <f>'부산 명지동'!F4</f>
        <v>50521.710544000001</v>
      </c>
      <c r="H11" s="18">
        <f>'부산 명지동'!G4</f>
        <v>39483.930090478825</v>
      </c>
      <c r="I11" s="513">
        <f>'부산 명지동'!H4</f>
        <v>258008</v>
      </c>
      <c r="J11" s="515">
        <f>'부산 명지동'!I4</f>
        <v>0.33333333333333331</v>
      </c>
      <c r="K11" s="513">
        <f>'부산 명지동'!J4</f>
        <v>0</v>
      </c>
      <c r="L11" s="515">
        <f>'부산 명지동'!K4</f>
        <v>0.59099999999999997</v>
      </c>
      <c r="M11" s="513">
        <f>'부산 명지동'!L4</f>
        <v>917.5963680000001</v>
      </c>
      <c r="N11" s="514">
        <f>'부산 명지동'!M4</f>
        <v>3.2983870967741935</v>
      </c>
      <c r="O11" s="514">
        <f>'부산 명지동'!N4</f>
        <v>7.76</v>
      </c>
      <c r="P11" s="24" t="s">
        <v>38</v>
      </c>
      <c r="Q11" s="248" t="s">
        <v>95</v>
      </c>
      <c r="R11" s="248" t="s">
        <v>103</v>
      </c>
    </row>
    <row r="12" spans="2:18" s="248" customFormat="1" x14ac:dyDescent="0.2">
      <c r="B12" s="14">
        <f t="shared" ref="B12:B14" si="1">B11+1</f>
        <v>9</v>
      </c>
      <c r="C12" s="15" t="s">
        <v>12</v>
      </c>
      <c r="D12" s="15" t="s">
        <v>13</v>
      </c>
      <c r="E12" s="16">
        <v>36494</v>
      </c>
      <c r="F12" s="17">
        <f>'익산 중앙동'!E4</f>
        <v>0</v>
      </c>
      <c r="G12" s="18">
        <f>'익산 중앙동'!F4</f>
        <v>118145.9972</v>
      </c>
      <c r="H12" s="18">
        <f>'익산 중앙동'!G4</f>
        <v>97980.731347930341</v>
      </c>
      <c r="I12" s="513">
        <f>'익산 중앙동'!H4</f>
        <v>348719</v>
      </c>
      <c r="J12" s="515">
        <f>'익산 중앙동'!I4</f>
        <v>0.46666666666666667</v>
      </c>
      <c r="K12" s="513">
        <f>'익산 중앙동'!J4</f>
        <v>0</v>
      </c>
      <c r="L12" s="515">
        <f>'익산 중앙동'!K4</f>
        <v>0.72599999999999998</v>
      </c>
      <c r="M12" s="513">
        <f>'익산 중앙동'!L4</f>
        <v>0</v>
      </c>
      <c r="N12" s="514">
        <f>'익산 중앙동'!M4</f>
        <v>4.506849315068493</v>
      </c>
      <c r="O12" s="514">
        <f>'익산 중앙동'!N4</f>
        <v>4.24</v>
      </c>
      <c r="P12" s="24" t="s">
        <v>38</v>
      </c>
      <c r="Q12" s="248" t="s">
        <v>95</v>
      </c>
      <c r="R12" s="248" t="s">
        <v>144</v>
      </c>
    </row>
    <row r="13" spans="2:18" s="248" customFormat="1" x14ac:dyDescent="0.2">
      <c r="B13" s="14">
        <f t="shared" si="1"/>
        <v>10</v>
      </c>
      <c r="C13" s="15" t="s">
        <v>106</v>
      </c>
      <c r="D13" s="15" t="s">
        <v>107</v>
      </c>
      <c r="E13" s="16">
        <v>38000</v>
      </c>
      <c r="F13" s="17">
        <f>연신내!E4</f>
        <v>0</v>
      </c>
      <c r="G13" s="18">
        <f>연신내!F4</f>
        <v>64423.443202607399</v>
      </c>
      <c r="H13" s="18">
        <f>연신내!G4</f>
        <v>53613.274370199739</v>
      </c>
      <c r="I13" s="513">
        <f>연신내!H4</f>
        <v>654274</v>
      </c>
      <c r="J13" s="515">
        <f>연신내!I4</f>
        <v>0.14814814814814814</v>
      </c>
      <c r="K13" s="513">
        <f>연신내!J4</f>
        <v>0</v>
      </c>
      <c r="L13" s="515">
        <f>연신내!K4</f>
        <v>0.66464239999999997</v>
      </c>
      <c r="M13" s="513">
        <f>연신내!L4</f>
        <v>0</v>
      </c>
      <c r="N13" s="514">
        <f>연신내!M4</f>
        <v>3.9178082191780823</v>
      </c>
      <c r="O13" s="514">
        <f>연신내!N4</f>
        <v>4.8</v>
      </c>
      <c r="P13" s="24" t="s">
        <v>38</v>
      </c>
      <c r="Q13" s="248" t="s">
        <v>95</v>
      </c>
      <c r="R13" s="248" t="s">
        <v>103</v>
      </c>
    </row>
    <row r="14" spans="2:18" s="248" customFormat="1" x14ac:dyDescent="0.2">
      <c r="B14" s="14">
        <f t="shared" si="1"/>
        <v>11</v>
      </c>
      <c r="C14" s="15" t="s">
        <v>108</v>
      </c>
      <c r="D14" s="15" t="s">
        <v>109</v>
      </c>
      <c r="E14" s="229">
        <v>39380</v>
      </c>
      <c r="F14" s="17">
        <f>'부산 양정동'!E4</f>
        <v>4362.7284410947541</v>
      </c>
      <c r="G14" s="18">
        <f>'부산 양정동'!F4</f>
        <v>37175.058822222229</v>
      </c>
      <c r="H14" s="18">
        <f>'부산 양정동'!G4</f>
        <v>35017.271558905246</v>
      </c>
      <c r="I14" s="513">
        <f>'부산 양정동'!H4</f>
        <v>151075</v>
      </c>
      <c r="J14" s="515">
        <f>'부산 양정동'!I4</f>
        <v>0.44444444444444442</v>
      </c>
      <c r="K14" s="513">
        <f>'부산 양정동'!J4</f>
        <v>0</v>
      </c>
      <c r="L14" s="515">
        <f>'부산 양정동'!K4</f>
        <v>0.55700000000000005</v>
      </c>
      <c r="M14" s="513">
        <f>'부산 양정동'!L4</f>
        <v>504.89265000000006</v>
      </c>
      <c r="N14" s="514">
        <f>'부산 양정동'!M4</f>
        <v>1.25</v>
      </c>
      <c r="O14" s="514">
        <f>'부산 양정동'!N4</f>
        <v>4.9000000000000004</v>
      </c>
      <c r="P14" s="24" t="s">
        <v>38</v>
      </c>
      <c r="R14" s="248" t="s">
        <v>104</v>
      </c>
    </row>
    <row r="15" spans="2:18" s="248" customFormat="1" x14ac:dyDescent="0.2">
      <c r="B15" s="258">
        <v>12</v>
      </c>
      <c r="C15" s="259" t="s">
        <v>110</v>
      </c>
      <c r="D15" s="259" t="s">
        <v>111</v>
      </c>
      <c r="E15" s="16">
        <v>11600</v>
      </c>
      <c r="F15" s="260">
        <f>'죽전 데이터센터'!E4</f>
        <v>0</v>
      </c>
      <c r="G15" s="18">
        <f>'죽전 데이터센터'!F4</f>
        <v>27505.422222222227</v>
      </c>
      <c r="H15" s="18">
        <f>'죽전 데이터센터'!G4</f>
        <v>24147.138362570593</v>
      </c>
      <c r="I15" s="513">
        <f>'죽전 데이터센터'!H4</f>
        <v>901600</v>
      </c>
      <c r="J15" s="515">
        <f>'죽전 데이터센터'!I4</f>
        <v>0.22222222222222221</v>
      </c>
      <c r="K15" s="513">
        <f>'죽전 데이터센터'!J4</f>
        <v>538000</v>
      </c>
      <c r="L15" s="515">
        <f>'죽전 데이터센터'!K4</f>
        <v>0.73399999999999999</v>
      </c>
      <c r="M15" s="513">
        <f>'죽전 데이터센터'!L4</f>
        <v>0</v>
      </c>
      <c r="N15" s="514">
        <f>'죽전 데이터센터'!M4</f>
        <v>1.3780821917808219</v>
      </c>
      <c r="O15" s="514">
        <f>'죽전 데이터센터'!N4</f>
        <v>9.91</v>
      </c>
      <c r="P15" s="24" t="s">
        <v>2</v>
      </c>
      <c r="Q15" s="248" t="s">
        <v>95</v>
      </c>
      <c r="R15" s="248" t="s">
        <v>144</v>
      </c>
    </row>
    <row r="16" spans="2:18" s="248" customFormat="1" x14ac:dyDescent="0.2">
      <c r="B16" s="258">
        <v>13</v>
      </c>
      <c r="C16" s="259" t="s">
        <v>149</v>
      </c>
      <c r="D16" s="259" t="s">
        <v>150</v>
      </c>
      <c r="E16" s="16">
        <v>32960</v>
      </c>
      <c r="F16" s="260">
        <f>'울산 신정동'!E4</f>
        <v>0</v>
      </c>
      <c r="G16" s="18">
        <f>'울산 신정동'!F4</f>
        <v>56804.775847272722</v>
      </c>
      <c r="H16" s="18">
        <f>'울산 신정동'!G4</f>
        <v>50592.389984002817</v>
      </c>
      <c r="I16" s="513">
        <f>'울산 신정동'!H4</f>
        <v>203768</v>
      </c>
      <c r="J16" s="515">
        <f>'울산 신정동'!I4</f>
        <v>0.45454545454545453</v>
      </c>
      <c r="K16" s="513">
        <f>'울산 신정동'!J4</f>
        <v>0</v>
      </c>
      <c r="L16" s="515">
        <f>'울산 신정동'!K4</f>
        <v>0.61699999999999999</v>
      </c>
      <c r="M16" s="513">
        <f>'울산 신정동'!L4</f>
        <v>754.34913600000004</v>
      </c>
      <c r="N16" s="514">
        <f>'울산 신정동'!M4</f>
        <v>2.5643835616438357</v>
      </c>
      <c r="O16" s="514">
        <f>'울산 신정동'!N4</f>
        <v>4.62</v>
      </c>
      <c r="P16" s="24" t="s">
        <v>592</v>
      </c>
      <c r="Q16" s="248" t="s">
        <v>95</v>
      </c>
      <c r="R16" s="248" t="s">
        <v>151</v>
      </c>
    </row>
    <row r="17" spans="2:16" x14ac:dyDescent="0.2">
      <c r="B17" s="589" t="s">
        <v>147</v>
      </c>
      <c r="C17" s="589"/>
      <c r="D17" s="589"/>
      <c r="E17" s="263">
        <f>SUM(E4:E16)</f>
        <v>343499.86218699999</v>
      </c>
      <c r="F17" s="264">
        <f>SUM(F4:F16)</f>
        <v>35945.829565989116</v>
      </c>
      <c r="G17" s="265"/>
      <c r="H17" s="265"/>
      <c r="I17" s="265"/>
      <c r="J17" s="265"/>
      <c r="K17" s="265"/>
      <c r="L17" s="265"/>
      <c r="M17" s="265"/>
      <c r="N17" s="265"/>
      <c r="O17" s="265"/>
      <c r="P17" s="265"/>
    </row>
    <row r="18" spans="2:16" x14ac:dyDescent="0.2">
      <c r="B18" s="25" t="s">
        <v>119</v>
      </c>
    </row>
    <row r="19" spans="2:16" x14ac:dyDescent="0.2">
      <c r="B19" s="25" t="s">
        <v>39</v>
      </c>
      <c r="F19" s="249"/>
    </row>
    <row r="20" spans="2:16" x14ac:dyDescent="0.2">
      <c r="B20" s="25" t="s">
        <v>84</v>
      </c>
      <c r="F20" s="250"/>
    </row>
    <row r="21" spans="2:16" x14ac:dyDescent="0.2">
      <c r="F21" s="250"/>
    </row>
    <row r="22" spans="2:16" x14ac:dyDescent="0.2">
      <c r="F22" s="250"/>
    </row>
    <row r="23" spans="2:16" x14ac:dyDescent="0.2">
      <c r="F23" s="250"/>
    </row>
    <row r="24" spans="2:16" x14ac:dyDescent="0.2">
      <c r="F24" s="250"/>
    </row>
    <row r="25" spans="2:16" x14ac:dyDescent="0.2">
      <c r="F25" s="250"/>
    </row>
    <row r="26" spans="2:16" x14ac:dyDescent="0.2">
      <c r="F26" s="250"/>
    </row>
    <row r="27" spans="2:16" x14ac:dyDescent="0.2">
      <c r="F27" s="250"/>
    </row>
    <row r="28" spans="2:16" x14ac:dyDescent="0.2">
      <c r="F28" s="250"/>
    </row>
    <row r="29" spans="2:16" x14ac:dyDescent="0.2">
      <c r="F29" s="250"/>
    </row>
    <row r="30" spans="2:16" x14ac:dyDescent="0.2">
      <c r="F30" s="250"/>
    </row>
    <row r="31" spans="2:16" x14ac:dyDescent="0.2">
      <c r="F31" s="250"/>
    </row>
    <row r="32" spans="2:16" x14ac:dyDescent="0.2">
      <c r="F32" s="250"/>
    </row>
    <row r="33" spans="6:6" x14ac:dyDescent="0.2">
      <c r="F33" s="250"/>
    </row>
    <row r="34" spans="6:6" x14ac:dyDescent="0.2">
      <c r="F34" s="250"/>
    </row>
  </sheetData>
  <autoFilter ref="B3:R20"/>
  <mergeCells count="1">
    <mergeCell ref="B17:D17"/>
  </mergeCells>
  <phoneticPr fontId="15" type="noConversion"/>
  <pageMargins left="0.7" right="0.7" top="0.75" bottom="0.75" header="0.3" footer="0.3"/>
  <pageSetup paperSize="9" orientation="portrait" r:id="rId1"/>
  <ignoredErrors>
    <ignoredError sqref="B10" formula="1"/>
  </ignoredErrors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P92"/>
  <sheetViews>
    <sheetView showGridLines="0" zoomScale="85" zoomScaleNormal="85" workbookViewId="0">
      <selection activeCell="D2" sqref="D2"/>
    </sheetView>
  </sheetViews>
  <sheetFormatPr defaultRowHeight="12.75" x14ac:dyDescent="0.2"/>
  <cols>
    <col min="1" max="1" width="3.5703125" style="1" customWidth="1"/>
    <col min="2" max="2" width="15.5703125" style="1" bestFit="1" customWidth="1"/>
    <col min="3" max="3" width="35.7109375" style="1" customWidth="1"/>
    <col min="4" max="4" width="13.7109375" style="1" bestFit="1" customWidth="1"/>
    <col min="5" max="5" width="22.28515625" style="1" customWidth="1"/>
    <col min="6" max="6" width="18.7109375" style="1" customWidth="1"/>
    <col min="7" max="7" width="19" style="1" customWidth="1"/>
    <col min="8" max="8" width="16.5703125" style="1" customWidth="1"/>
    <col min="9" max="9" width="13.7109375" style="1" bestFit="1" customWidth="1"/>
    <col min="10" max="10" width="17.85546875" style="1" customWidth="1"/>
    <col min="11" max="12" width="13.42578125" style="1" customWidth="1"/>
    <col min="13" max="13" width="10.140625" style="1" customWidth="1"/>
    <col min="14" max="14" width="15.5703125" style="1" customWidth="1"/>
    <col min="15" max="15" width="15.42578125" style="1" bestFit="1" customWidth="1"/>
    <col min="16" max="16" width="16" style="1" customWidth="1"/>
    <col min="17" max="17" width="9.140625" style="1"/>
    <col min="18" max="18" width="12.5703125" style="1" customWidth="1"/>
    <col min="19" max="19" width="15.5703125" style="1" bestFit="1" customWidth="1"/>
    <col min="20" max="20" width="17.28515625" style="1" customWidth="1"/>
    <col min="21" max="16384" width="9.140625" style="1"/>
  </cols>
  <sheetData>
    <row r="2" spans="2:15" ht="13.5" x14ac:dyDescent="0.2">
      <c r="B2" s="2"/>
      <c r="C2" s="2" t="s">
        <v>590</v>
      </c>
      <c r="D2" s="3">
        <v>42000</v>
      </c>
      <c r="E2" s="4"/>
      <c r="F2" s="2"/>
      <c r="G2" s="2"/>
      <c r="H2" s="5"/>
      <c r="I2" s="2"/>
      <c r="J2" s="2"/>
      <c r="K2" s="6"/>
      <c r="L2" s="5"/>
      <c r="M2" s="5"/>
      <c r="O2" s="7" t="s">
        <v>22</v>
      </c>
    </row>
    <row r="3" spans="2:15" ht="18" thickBot="1" x14ac:dyDescent="0.25">
      <c r="B3" s="8" t="s">
        <v>24</v>
      </c>
      <c r="C3" s="8" t="s">
        <v>25</v>
      </c>
      <c r="D3" s="9" t="s">
        <v>26</v>
      </c>
      <c r="E3" s="26" t="s">
        <v>41</v>
      </c>
      <c r="F3" s="11" t="s">
        <v>27</v>
      </c>
      <c r="G3" s="9" t="s">
        <v>28</v>
      </c>
      <c r="H3" s="9" t="s">
        <v>29</v>
      </c>
      <c r="I3" s="9" t="s">
        <v>30</v>
      </c>
      <c r="J3" s="10" t="s">
        <v>31</v>
      </c>
      <c r="K3" s="10" t="s">
        <v>32</v>
      </c>
      <c r="L3" s="10" t="s">
        <v>33</v>
      </c>
      <c r="M3" s="12" t="s">
        <v>34</v>
      </c>
      <c r="N3" s="13" t="s">
        <v>35</v>
      </c>
      <c r="O3" s="13" t="s">
        <v>36</v>
      </c>
    </row>
    <row r="4" spans="2:15" ht="14.25" thickTop="1" x14ac:dyDescent="0.2">
      <c r="B4" s="15" t="s">
        <v>12</v>
      </c>
      <c r="C4" s="15" t="s">
        <v>13</v>
      </c>
      <c r="D4" s="16">
        <v>36494</v>
      </c>
      <c r="E4" s="17">
        <f>IF(G4&gt;=D4,0,D4-G4)</f>
        <v>0</v>
      </c>
      <c r="F4" s="18">
        <f t="shared" ref="F4" si="0">((((H4*K4-J4-L4)*I4)*1000000))/1000000</f>
        <v>118145.9972</v>
      </c>
      <c r="G4" s="16">
        <f>((H4*K4-L4-J4)*I4)/(1+N4/100)^M4</f>
        <v>97980.731347930341</v>
      </c>
      <c r="H4" s="19">
        <v>348719</v>
      </c>
      <c r="I4" s="20">
        <f>420/900</f>
        <v>0.46666666666666667</v>
      </c>
      <c r="J4" s="19">
        <v>0</v>
      </c>
      <c r="K4" s="21">
        <v>0.72599999999999998</v>
      </c>
      <c r="L4" s="19">
        <v>0</v>
      </c>
      <c r="M4" s="22">
        <f>P23</f>
        <v>4.506849315068493</v>
      </c>
      <c r="N4" s="23">
        <v>4.24</v>
      </c>
      <c r="O4" s="24" t="s">
        <v>2</v>
      </c>
    </row>
    <row r="5" spans="2:15" x14ac:dyDescent="0.2">
      <c r="D5" s="28"/>
      <c r="E5" s="34">
        <f>E4/D4</f>
        <v>0</v>
      </c>
    </row>
    <row r="7" spans="2:15" ht="16.5" x14ac:dyDescent="0.2">
      <c r="B7" s="29" t="s">
        <v>62</v>
      </c>
      <c r="C7" s="35"/>
      <c r="D7" s="36"/>
      <c r="E7" s="37"/>
      <c r="G7" s="29" t="s">
        <v>56</v>
      </c>
      <c r="H7" s="36"/>
      <c r="I7" s="36"/>
      <c r="J7" s="36"/>
      <c r="K7" s="36"/>
      <c r="L7" s="36"/>
      <c r="M7" s="36"/>
      <c r="N7" s="37"/>
    </row>
    <row r="8" spans="2:15" ht="16.5" x14ac:dyDescent="0.2">
      <c r="B8" s="31"/>
      <c r="C8" s="38"/>
      <c r="D8" s="39"/>
      <c r="E8" s="40"/>
      <c r="G8" s="41"/>
      <c r="H8" s="39"/>
      <c r="I8" s="39"/>
      <c r="J8" s="39"/>
      <c r="K8" s="39"/>
      <c r="L8" s="39"/>
      <c r="M8" s="39"/>
      <c r="N8" s="40"/>
    </row>
    <row r="9" spans="2:15" ht="13.5" x14ac:dyDescent="0.2">
      <c r="B9" s="42"/>
      <c r="C9" s="39"/>
      <c r="D9" s="39"/>
      <c r="E9" s="40"/>
      <c r="G9" s="41"/>
      <c r="H9" s="39"/>
      <c r="I9" s="39"/>
      <c r="J9" s="39"/>
      <c r="K9" s="39"/>
      <c r="L9" s="39"/>
      <c r="M9" s="39"/>
      <c r="N9" s="40"/>
    </row>
    <row r="10" spans="2:15" x14ac:dyDescent="0.2">
      <c r="B10" s="42"/>
      <c r="C10" s="39"/>
      <c r="D10" s="39"/>
      <c r="E10" s="40"/>
      <c r="F10" s="27"/>
      <c r="G10" s="42"/>
      <c r="H10" s="39"/>
      <c r="I10" s="39"/>
      <c r="J10" s="39"/>
      <c r="K10" s="39"/>
      <c r="L10" s="39"/>
      <c r="M10" s="39"/>
      <c r="N10" s="40"/>
    </row>
    <row r="11" spans="2:15" x14ac:dyDescent="0.2">
      <c r="B11" s="42"/>
      <c r="C11" s="39"/>
      <c r="D11" s="39"/>
      <c r="E11" s="40"/>
      <c r="F11" s="27"/>
      <c r="G11" s="42"/>
      <c r="H11" s="39"/>
      <c r="I11" s="39"/>
      <c r="J11" s="39"/>
      <c r="K11" s="39"/>
      <c r="L11" s="39"/>
      <c r="M11" s="39"/>
      <c r="N11" s="40"/>
    </row>
    <row r="12" spans="2:15" x14ac:dyDescent="0.2">
      <c r="B12" s="42"/>
      <c r="C12" s="39"/>
      <c r="D12" s="39"/>
      <c r="E12" s="40"/>
      <c r="F12" s="27"/>
      <c r="G12" s="42"/>
      <c r="H12" s="39"/>
      <c r="I12" s="39"/>
      <c r="J12" s="39"/>
      <c r="K12" s="39"/>
      <c r="L12" s="39"/>
      <c r="M12" s="39"/>
      <c r="N12" s="40"/>
    </row>
    <row r="13" spans="2:15" x14ac:dyDescent="0.2">
      <c r="B13" s="42"/>
      <c r="C13" s="39"/>
      <c r="D13" s="39"/>
      <c r="E13" s="40"/>
      <c r="F13" s="27"/>
      <c r="G13" s="42"/>
      <c r="H13" s="39"/>
      <c r="I13" s="39"/>
      <c r="J13" s="39"/>
      <c r="K13" s="39"/>
      <c r="L13" s="39"/>
      <c r="M13" s="39"/>
      <c r="N13" s="40"/>
    </row>
    <row r="14" spans="2:15" x14ac:dyDescent="0.2">
      <c r="B14" s="43"/>
      <c r="C14" s="44"/>
      <c r="D14" s="44"/>
      <c r="E14" s="45"/>
      <c r="F14" s="27"/>
      <c r="G14" s="42"/>
      <c r="H14" s="39"/>
      <c r="I14" s="39"/>
      <c r="J14" s="39"/>
      <c r="K14" s="39"/>
      <c r="L14" s="39"/>
      <c r="M14" s="39"/>
      <c r="N14" s="40"/>
    </row>
    <row r="15" spans="2:15" x14ac:dyDescent="0.2">
      <c r="F15" s="27"/>
      <c r="G15" s="42"/>
      <c r="H15" s="39"/>
      <c r="I15" s="39"/>
      <c r="J15" s="39"/>
      <c r="K15" s="39"/>
      <c r="L15" s="39"/>
      <c r="M15" s="39"/>
      <c r="N15" s="40"/>
    </row>
    <row r="16" spans="2:15" x14ac:dyDescent="0.2">
      <c r="G16" s="42"/>
      <c r="H16" s="39"/>
      <c r="I16" s="39"/>
      <c r="J16" s="39"/>
      <c r="K16" s="39"/>
      <c r="L16" s="39"/>
      <c r="M16" s="39"/>
      <c r="N16" s="40"/>
    </row>
    <row r="17" spans="2:16" x14ac:dyDescent="0.2">
      <c r="G17" s="43"/>
      <c r="H17" s="44"/>
      <c r="I17" s="44"/>
      <c r="J17" s="44"/>
      <c r="K17" s="44"/>
      <c r="L17" s="44"/>
      <c r="M17" s="44"/>
      <c r="N17" s="45"/>
    </row>
    <row r="19" spans="2:16" ht="16.5" x14ac:dyDescent="0.2">
      <c r="G19" s="53" t="s">
        <v>579</v>
      </c>
      <c r="H19" s="54"/>
      <c r="I19" s="30"/>
      <c r="J19" s="30"/>
      <c r="K19" s="30"/>
      <c r="L19" s="30"/>
      <c r="M19" s="30"/>
      <c r="N19" s="36"/>
      <c r="O19" s="36"/>
      <c r="P19" s="37"/>
    </row>
    <row r="20" spans="2:16" ht="16.5" x14ac:dyDescent="0.2">
      <c r="B20" s="29" t="s">
        <v>57</v>
      </c>
      <c r="C20" s="36"/>
      <c r="D20" s="36"/>
      <c r="E20" s="37"/>
      <c r="G20" s="55" t="s">
        <v>577</v>
      </c>
      <c r="H20" s="56"/>
      <c r="I20" s="32"/>
      <c r="J20" s="32"/>
      <c r="K20" s="32"/>
      <c r="L20" s="32"/>
      <c r="M20" s="32"/>
      <c r="N20" s="517" t="s">
        <v>69</v>
      </c>
      <c r="O20" s="228">
        <v>45504</v>
      </c>
      <c r="P20" s="51"/>
    </row>
    <row r="21" spans="2:16" ht="16.5" x14ac:dyDescent="0.2">
      <c r="B21" s="42"/>
      <c r="C21" s="226" t="s">
        <v>587</v>
      </c>
      <c r="D21" s="39"/>
      <c r="E21" s="40"/>
      <c r="G21" s="55" t="s">
        <v>63</v>
      </c>
      <c r="H21" s="56"/>
      <c r="I21" s="32"/>
      <c r="J21" s="32"/>
      <c r="K21" s="32"/>
      <c r="L21" s="32"/>
      <c r="M21" s="32"/>
      <c r="N21" s="32" t="s">
        <v>85</v>
      </c>
      <c r="O21" s="61" t="s">
        <v>86</v>
      </c>
      <c r="P21" s="51"/>
    </row>
    <row r="22" spans="2:16" ht="16.5" x14ac:dyDescent="0.2">
      <c r="B22" s="42"/>
      <c r="C22" s="38" t="s">
        <v>58</v>
      </c>
      <c r="D22" s="39"/>
      <c r="E22" s="40"/>
      <c r="G22" s="57" t="s">
        <v>43</v>
      </c>
      <c r="H22" s="56"/>
      <c r="I22" s="32"/>
      <c r="J22" s="32"/>
      <c r="K22" s="32"/>
      <c r="L22" s="32"/>
      <c r="M22" s="32"/>
      <c r="N22" s="32" t="s">
        <v>70</v>
      </c>
      <c r="O22" s="61" t="s">
        <v>87</v>
      </c>
      <c r="P22" s="51"/>
    </row>
    <row r="23" spans="2:16" ht="16.5" x14ac:dyDescent="0.2">
      <c r="B23" s="42"/>
      <c r="C23" s="39"/>
      <c r="D23" s="39"/>
      <c r="E23" s="40"/>
      <c r="G23" s="57"/>
      <c r="H23" s="56"/>
      <c r="I23" s="32"/>
      <c r="J23" s="32"/>
      <c r="K23" s="32"/>
      <c r="L23" s="32"/>
      <c r="M23" s="32"/>
      <c r="N23" s="32" t="s">
        <v>71</v>
      </c>
      <c r="O23" s="61" t="s">
        <v>88</v>
      </c>
      <c r="P23" s="51">
        <f>YEARFRAC(O20,O23,3)</f>
        <v>4.506849315068493</v>
      </c>
    </row>
    <row r="24" spans="2:16" ht="16.5" x14ac:dyDescent="0.2">
      <c r="B24" s="42"/>
      <c r="C24" s="39"/>
      <c r="D24" s="39"/>
      <c r="E24" s="40"/>
      <c r="G24" s="58" t="s">
        <v>44</v>
      </c>
      <c r="H24" s="56"/>
      <c r="I24" s="32"/>
      <c r="J24" s="32"/>
      <c r="K24" s="32"/>
      <c r="L24" s="32"/>
      <c r="M24" s="32"/>
      <c r="N24" s="32"/>
      <c r="O24" s="39"/>
      <c r="P24" s="40"/>
    </row>
    <row r="25" spans="2:16" ht="16.5" x14ac:dyDescent="0.2">
      <c r="B25" s="42"/>
      <c r="C25" s="39"/>
      <c r="D25" s="39"/>
      <c r="E25" s="40"/>
      <c r="G25" s="57"/>
      <c r="H25" s="56"/>
      <c r="I25" s="32"/>
      <c r="J25" s="32"/>
      <c r="K25" s="32"/>
      <c r="L25" s="32"/>
      <c r="M25" s="32"/>
      <c r="N25" s="32"/>
      <c r="O25" s="39"/>
      <c r="P25" s="40"/>
    </row>
    <row r="26" spans="2:16" ht="16.5" x14ac:dyDescent="0.2">
      <c r="B26" s="42"/>
      <c r="C26" s="39"/>
      <c r="D26" s="39"/>
      <c r="E26" s="40"/>
      <c r="G26" s="57"/>
      <c r="H26" s="56"/>
      <c r="I26" s="32"/>
      <c r="J26" s="32"/>
      <c r="K26" s="32"/>
      <c r="L26" s="32"/>
      <c r="M26" s="32"/>
      <c r="N26" s="32"/>
      <c r="O26" s="39"/>
      <c r="P26" s="40"/>
    </row>
    <row r="27" spans="2:16" ht="16.5" x14ac:dyDescent="0.2">
      <c r="B27" s="42"/>
      <c r="C27" s="39"/>
      <c r="D27" s="39"/>
      <c r="E27" s="40"/>
      <c r="G27" s="57"/>
      <c r="H27" s="56"/>
      <c r="I27" s="32"/>
      <c r="J27" s="32"/>
      <c r="K27" s="32"/>
      <c r="L27" s="32"/>
      <c r="M27" s="32"/>
      <c r="N27" s="32"/>
      <c r="O27" s="39"/>
      <c r="P27" s="40"/>
    </row>
    <row r="28" spans="2:16" ht="16.5" x14ac:dyDescent="0.2">
      <c r="B28" s="42"/>
      <c r="C28" s="39"/>
      <c r="D28" s="39"/>
      <c r="E28" s="40"/>
      <c r="G28" s="57"/>
      <c r="H28" s="56"/>
      <c r="I28" s="32"/>
      <c r="J28" s="32"/>
      <c r="K28" s="32"/>
      <c r="L28" s="32"/>
      <c r="M28" s="32"/>
      <c r="N28" s="32"/>
      <c r="O28" s="39"/>
      <c r="P28" s="40"/>
    </row>
    <row r="29" spans="2:16" ht="16.5" x14ac:dyDescent="0.2">
      <c r="B29" s="42"/>
      <c r="C29" s="39"/>
      <c r="D29" s="39"/>
      <c r="E29" s="40"/>
      <c r="G29" s="57"/>
      <c r="H29" s="56"/>
      <c r="I29" s="32"/>
      <c r="J29" s="32"/>
      <c r="K29" s="32"/>
      <c r="L29" s="32"/>
      <c r="M29" s="32"/>
      <c r="N29" s="32"/>
      <c r="O29" s="39"/>
      <c r="P29" s="40"/>
    </row>
    <row r="30" spans="2:16" x14ac:dyDescent="0.2">
      <c r="B30" s="42"/>
      <c r="C30" s="39"/>
      <c r="D30" s="39"/>
      <c r="E30" s="40"/>
      <c r="G30" s="42"/>
      <c r="H30" s="39"/>
      <c r="I30" s="39"/>
      <c r="J30" s="39"/>
      <c r="K30" s="39"/>
      <c r="L30" s="39"/>
      <c r="M30" s="39"/>
      <c r="N30" s="39"/>
      <c r="O30" s="39"/>
      <c r="P30" s="40"/>
    </row>
    <row r="31" spans="2:16" x14ac:dyDescent="0.2">
      <c r="B31" s="42"/>
      <c r="C31" s="39"/>
      <c r="D31" s="39"/>
      <c r="E31" s="40"/>
      <c r="G31" s="42"/>
      <c r="H31" s="39"/>
      <c r="I31" s="39"/>
      <c r="J31" s="39"/>
      <c r="K31" s="39"/>
      <c r="L31" s="39"/>
      <c r="M31" s="39"/>
      <c r="N31" s="39"/>
      <c r="O31" s="39"/>
      <c r="P31" s="40"/>
    </row>
    <row r="32" spans="2:16" x14ac:dyDescent="0.2">
      <c r="B32" s="42"/>
      <c r="C32" s="39"/>
      <c r="D32" s="39"/>
      <c r="E32" s="40"/>
      <c r="G32" s="42"/>
      <c r="H32" s="39"/>
      <c r="I32" s="39"/>
      <c r="J32" s="39"/>
      <c r="K32" s="39"/>
      <c r="L32" s="39"/>
      <c r="M32" s="39"/>
      <c r="N32" s="39"/>
      <c r="O32" s="39"/>
      <c r="P32" s="40"/>
    </row>
    <row r="33" spans="2:16" x14ac:dyDescent="0.2">
      <c r="B33" s="42"/>
      <c r="C33" s="39"/>
      <c r="D33" s="39"/>
      <c r="E33" s="40"/>
      <c r="G33" s="42"/>
      <c r="H33" s="39"/>
      <c r="I33" s="39"/>
      <c r="J33" s="39"/>
      <c r="K33" s="39"/>
      <c r="L33" s="39"/>
      <c r="M33" s="39"/>
      <c r="N33" s="39"/>
      <c r="O33" s="39"/>
      <c r="P33" s="40"/>
    </row>
    <row r="34" spans="2:16" x14ac:dyDescent="0.2">
      <c r="B34" s="42"/>
      <c r="C34" s="39"/>
      <c r="D34" s="39"/>
      <c r="E34" s="40"/>
      <c r="G34" s="42"/>
      <c r="H34" s="39"/>
      <c r="I34" s="39"/>
      <c r="J34" s="39"/>
      <c r="K34" s="39"/>
      <c r="L34" s="39"/>
      <c r="M34" s="39"/>
      <c r="N34" s="39"/>
      <c r="O34" s="39"/>
      <c r="P34" s="40"/>
    </row>
    <row r="35" spans="2:16" x14ac:dyDescent="0.2">
      <c r="B35" s="42"/>
      <c r="C35" s="39"/>
      <c r="D35" s="39"/>
      <c r="E35" s="40"/>
      <c r="G35" s="42"/>
      <c r="H35" s="39"/>
      <c r="I35" s="39"/>
      <c r="J35" s="39"/>
      <c r="K35" s="39"/>
      <c r="L35" s="39"/>
      <c r="M35" s="39"/>
      <c r="N35" s="39"/>
      <c r="O35" s="39"/>
      <c r="P35" s="40"/>
    </row>
    <row r="36" spans="2:16" x14ac:dyDescent="0.2">
      <c r="B36" s="42"/>
      <c r="C36" s="39"/>
      <c r="D36" s="39"/>
      <c r="E36" s="40"/>
      <c r="G36" s="42"/>
      <c r="H36" s="39"/>
      <c r="I36" s="39"/>
      <c r="J36" s="39"/>
      <c r="K36" s="39"/>
      <c r="L36" s="39"/>
      <c r="M36" s="39"/>
      <c r="N36" s="39"/>
      <c r="O36" s="39"/>
      <c r="P36" s="40"/>
    </row>
    <row r="37" spans="2:16" x14ac:dyDescent="0.2">
      <c r="B37" s="42"/>
      <c r="C37" s="39"/>
      <c r="D37" s="39"/>
      <c r="E37" s="40"/>
      <c r="G37" s="42"/>
      <c r="H37" s="39"/>
      <c r="I37" s="39"/>
      <c r="J37" s="39"/>
      <c r="K37" s="39"/>
      <c r="L37" s="39"/>
      <c r="M37" s="39"/>
      <c r="N37" s="39"/>
      <c r="O37" s="39"/>
      <c r="P37" s="40"/>
    </row>
    <row r="38" spans="2:16" ht="16.5" x14ac:dyDescent="0.2">
      <c r="B38" s="42"/>
      <c r="C38" s="39"/>
      <c r="D38" s="39"/>
      <c r="E38" s="40"/>
      <c r="G38" s="59" t="s">
        <v>64</v>
      </c>
      <c r="H38" s="39"/>
      <c r="I38" s="39"/>
      <c r="J38" s="39"/>
      <c r="K38" s="39"/>
      <c r="L38" s="39"/>
      <c r="M38" s="39"/>
      <c r="N38" s="39"/>
      <c r="O38" s="39"/>
      <c r="P38" s="40"/>
    </row>
    <row r="39" spans="2:16" x14ac:dyDescent="0.2">
      <c r="B39" s="42"/>
      <c r="C39" s="39"/>
      <c r="D39" s="39"/>
      <c r="E39" s="40"/>
      <c r="G39" s="42"/>
      <c r="H39" s="39"/>
      <c r="I39" s="39"/>
      <c r="J39" s="39"/>
      <c r="K39" s="39"/>
      <c r="L39" s="39"/>
      <c r="M39" s="39"/>
      <c r="N39" s="39"/>
      <c r="O39" s="39"/>
      <c r="P39" s="60"/>
    </row>
    <row r="40" spans="2:16" x14ac:dyDescent="0.2">
      <c r="B40" s="42"/>
      <c r="C40" s="39"/>
      <c r="D40" s="39"/>
      <c r="E40" s="40"/>
      <c r="G40" s="42"/>
      <c r="H40" s="39"/>
      <c r="I40" s="39"/>
      <c r="J40" s="39"/>
      <c r="K40" s="39"/>
      <c r="L40" s="39"/>
      <c r="M40" s="39"/>
      <c r="N40" s="39"/>
      <c r="O40" s="39"/>
      <c r="P40" s="40"/>
    </row>
    <row r="41" spans="2:16" x14ac:dyDescent="0.2">
      <c r="B41" s="42"/>
      <c r="C41" s="39"/>
      <c r="D41" s="39"/>
      <c r="E41" s="40"/>
      <c r="G41" s="42"/>
      <c r="H41" s="39"/>
      <c r="I41" s="39"/>
      <c r="J41" s="39"/>
      <c r="K41" s="39"/>
      <c r="L41" s="39"/>
      <c r="M41" s="39"/>
      <c r="N41" s="39"/>
      <c r="O41" s="39"/>
      <c r="P41" s="40"/>
    </row>
    <row r="42" spans="2:16" x14ac:dyDescent="0.2">
      <c r="B42" s="42"/>
      <c r="C42" s="39"/>
      <c r="D42" s="39"/>
      <c r="E42" s="40"/>
      <c r="G42" s="42"/>
      <c r="H42" s="39"/>
      <c r="I42" s="39"/>
      <c r="J42" s="39"/>
      <c r="K42" s="39"/>
      <c r="L42" s="39"/>
      <c r="M42" s="39"/>
      <c r="N42" s="39"/>
      <c r="O42" s="39"/>
      <c r="P42" s="40"/>
    </row>
    <row r="43" spans="2:16" x14ac:dyDescent="0.2">
      <c r="B43" s="42"/>
      <c r="C43" s="39"/>
      <c r="D43" s="39"/>
      <c r="E43" s="40"/>
      <c r="G43" s="42"/>
      <c r="H43" s="39"/>
      <c r="I43" s="39"/>
      <c r="J43" s="39"/>
      <c r="K43" s="39"/>
      <c r="L43" s="39"/>
      <c r="M43" s="39"/>
      <c r="N43" s="39"/>
      <c r="O43" s="39"/>
      <c r="P43" s="40"/>
    </row>
    <row r="44" spans="2:16" x14ac:dyDescent="0.2">
      <c r="B44" s="42"/>
      <c r="C44" s="39"/>
      <c r="D44" s="39"/>
      <c r="E44" s="40"/>
      <c r="G44" s="42"/>
      <c r="H44" s="39"/>
      <c r="I44" s="39"/>
      <c r="J44" s="39"/>
      <c r="K44" s="39"/>
      <c r="L44" s="39"/>
      <c r="M44" s="39"/>
      <c r="N44" s="39"/>
      <c r="O44" s="39"/>
      <c r="P44" s="40"/>
    </row>
    <row r="45" spans="2:16" x14ac:dyDescent="0.2">
      <c r="B45" s="42"/>
      <c r="C45" s="39"/>
      <c r="D45" s="39"/>
      <c r="E45" s="40"/>
      <c r="G45" s="42"/>
      <c r="H45" s="39"/>
      <c r="I45" s="39"/>
      <c r="J45" s="39"/>
      <c r="K45" s="39"/>
      <c r="L45" s="39"/>
      <c r="M45" s="39"/>
      <c r="N45" s="39"/>
      <c r="O45" s="39"/>
      <c r="P45" s="40"/>
    </row>
    <row r="46" spans="2:16" x14ac:dyDescent="0.2">
      <c r="B46" s="42"/>
      <c r="D46" s="39"/>
      <c r="E46" s="40"/>
      <c r="G46" s="42"/>
      <c r="H46" s="39"/>
      <c r="I46" s="39"/>
      <c r="J46" s="39"/>
      <c r="K46" s="39"/>
      <c r="L46" s="39"/>
      <c r="M46" s="39"/>
      <c r="N46" s="39"/>
      <c r="O46" s="39"/>
      <c r="P46" s="40"/>
    </row>
    <row r="47" spans="2:16" x14ac:dyDescent="0.2">
      <c r="B47" s="42"/>
      <c r="D47" s="39"/>
      <c r="E47" s="40"/>
      <c r="G47" s="42"/>
      <c r="H47" s="39"/>
      <c r="I47" s="39"/>
      <c r="J47" s="39"/>
      <c r="K47" s="39"/>
      <c r="L47" s="39"/>
      <c r="M47" s="39"/>
      <c r="N47" s="39"/>
      <c r="O47" s="39"/>
      <c r="P47" s="40"/>
    </row>
    <row r="48" spans="2:16" ht="13.5" x14ac:dyDescent="0.2">
      <c r="B48" s="42"/>
      <c r="C48" s="38" t="s">
        <v>584</v>
      </c>
      <c r="D48" s="39"/>
      <c r="E48" s="40"/>
      <c r="G48" s="42"/>
      <c r="H48" s="39"/>
      <c r="I48" s="39"/>
      <c r="J48" s="39"/>
      <c r="K48" s="39"/>
      <c r="L48" s="39"/>
      <c r="M48" s="39"/>
      <c r="N48" s="39"/>
      <c r="O48" s="39"/>
      <c r="P48" s="40"/>
    </row>
    <row r="49" spans="2:16" ht="13.5" x14ac:dyDescent="0.2">
      <c r="B49" s="42"/>
      <c r="C49" s="38" t="s">
        <v>58</v>
      </c>
      <c r="D49" s="39"/>
      <c r="E49" s="40"/>
      <c r="G49" s="42"/>
      <c r="H49" s="39"/>
      <c r="I49" s="39"/>
      <c r="J49" s="39"/>
      <c r="K49" s="39"/>
      <c r="L49" s="39"/>
      <c r="M49" s="39"/>
      <c r="N49" s="39"/>
      <c r="O49" s="39"/>
      <c r="P49" s="40"/>
    </row>
    <row r="50" spans="2:16" x14ac:dyDescent="0.2">
      <c r="B50" s="42"/>
      <c r="C50" s="39"/>
      <c r="D50" s="39"/>
      <c r="E50" s="40"/>
      <c r="G50" s="43"/>
      <c r="H50" s="44"/>
      <c r="I50" s="44"/>
      <c r="J50" s="44"/>
      <c r="K50" s="44"/>
      <c r="L50" s="44"/>
      <c r="M50" s="44"/>
      <c r="N50" s="44"/>
      <c r="O50" s="44"/>
      <c r="P50" s="45"/>
    </row>
    <row r="51" spans="2:16" x14ac:dyDescent="0.2">
      <c r="B51" s="42"/>
      <c r="C51" s="39"/>
      <c r="D51" s="39"/>
      <c r="E51" s="40"/>
    </row>
    <row r="52" spans="2:16" x14ac:dyDescent="0.2">
      <c r="B52" s="42"/>
      <c r="C52" s="39"/>
      <c r="D52" s="39"/>
      <c r="E52" s="40"/>
    </row>
    <row r="53" spans="2:16" x14ac:dyDescent="0.2">
      <c r="B53" s="42"/>
      <c r="C53" s="39"/>
      <c r="D53" s="39"/>
      <c r="E53" s="40"/>
    </row>
    <row r="54" spans="2:16" x14ac:dyDescent="0.2">
      <c r="B54" s="42"/>
      <c r="C54" s="39"/>
      <c r="D54" s="39"/>
      <c r="E54" s="40"/>
    </row>
    <row r="55" spans="2:16" x14ac:dyDescent="0.2">
      <c r="B55" s="42"/>
      <c r="C55" s="39"/>
      <c r="D55" s="39"/>
      <c r="E55" s="40"/>
    </row>
    <row r="56" spans="2:16" x14ac:dyDescent="0.2">
      <c r="B56" s="42"/>
      <c r="C56" s="39"/>
      <c r="D56" s="39"/>
      <c r="E56" s="40"/>
    </row>
    <row r="57" spans="2:16" x14ac:dyDescent="0.2">
      <c r="B57" s="42"/>
      <c r="C57" s="39"/>
      <c r="D57" s="39"/>
      <c r="E57" s="40"/>
    </row>
    <row r="58" spans="2:16" x14ac:dyDescent="0.2">
      <c r="B58" s="42"/>
      <c r="C58" s="39"/>
      <c r="D58" s="39"/>
      <c r="E58" s="40"/>
    </row>
    <row r="59" spans="2:16" x14ac:dyDescent="0.2">
      <c r="B59" s="42"/>
      <c r="C59" s="39"/>
      <c r="D59" s="39"/>
      <c r="E59" s="40"/>
    </row>
    <row r="60" spans="2:16" x14ac:dyDescent="0.2">
      <c r="B60" s="42"/>
      <c r="C60" s="39"/>
      <c r="D60" s="39"/>
      <c r="E60" s="40"/>
    </row>
    <row r="61" spans="2:16" x14ac:dyDescent="0.2">
      <c r="B61" s="42"/>
      <c r="C61" s="39"/>
      <c r="D61" s="39"/>
      <c r="E61" s="40"/>
    </row>
    <row r="62" spans="2:16" x14ac:dyDescent="0.2">
      <c r="B62" s="42"/>
      <c r="C62" s="39"/>
      <c r="D62" s="39"/>
      <c r="E62" s="40"/>
    </row>
    <row r="63" spans="2:16" x14ac:dyDescent="0.2">
      <c r="B63" s="42"/>
      <c r="C63" s="39"/>
      <c r="D63" s="39"/>
      <c r="E63" s="40"/>
    </row>
    <row r="64" spans="2:16" x14ac:dyDescent="0.2">
      <c r="B64" s="42"/>
      <c r="C64" s="39"/>
      <c r="D64" s="39"/>
      <c r="E64" s="40"/>
    </row>
    <row r="65" spans="2:5" x14ac:dyDescent="0.2">
      <c r="B65" s="42"/>
      <c r="C65" s="39"/>
      <c r="D65" s="39"/>
      <c r="E65" s="40"/>
    </row>
    <row r="66" spans="2:5" x14ac:dyDescent="0.2">
      <c r="B66" s="42"/>
      <c r="C66" s="39"/>
      <c r="D66" s="39"/>
      <c r="E66" s="40"/>
    </row>
    <row r="67" spans="2:5" x14ac:dyDescent="0.2">
      <c r="B67" s="42"/>
      <c r="C67" s="39"/>
      <c r="D67" s="39"/>
      <c r="E67" s="40"/>
    </row>
    <row r="68" spans="2:5" x14ac:dyDescent="0.2">
      <c r="B68" s="42"/>
      <c r="C68" s="39"/>
      <c r="D68" s="39"/>
      <c r="E68" s="40"/>
    </row>
    <row r="69" spans="2:5" x14ac:dyDescent="0.2">
      <c r="B69" s="42"/>
      <c r="C69" s="39"/>
      <c r="D69" s="39"/>
      <c r="E69" s="40"/>
    </row>
    <row r="70" spans="2:5" x14ac:dyDescent="0.2">
      <c r="B70" s="42"/>
      <c r="C70" s="39"/>
      <c r="D70" s="39"/>
      <c r="E70" s="40"/>
    </row>
    <row r="71" spans="2:5" x14ac:dyDescent="0.2">
      <c r="B71" s="42"/>
      <c r="C71" s="39"/>
      <c r="D71" s="39"/>
      <c r="E71" s="40"/>
    </row>
    <row r="72" spans="2:5" x14ac:dyDescent="0.2">
      <c r="B72" s="42"/>
      <c r="C72" s="39"/>
      <c r="D72" s="39"/>
      <c r="E72" s="40"/>
    </row>
    <row r="73" spans="2:5" x14ac:dyDescent="0.2">
      <c r="B73" s="42"/>
      <c r="C73" s="39"/>
      <c r="D73" s="39"/>
      <c r="E73" s="40"/>
    </row>
    <row r="74" spans="2:5" x14ac:dyDescent="0.2">
      <c r="B74" s="42"/>
      <c r="C74" s="39"/>
      <c r="D74" s="39"/>
      <c r="E74" s="40"/>
    </row>
    <row r="75" spans="2:5" x14ac:dyDescent="0.2">
      <c r="B75" s="42"/>
      <c r="D75" s="39"/>
      <c r="E75" s="40"/>
    </row>
    <row r="76" spans="2:5" x14ac:dyDescent="0.2">
      <c r="B76" s="42"/>
      <c r="D76" s="39"/>
      <c r="E76" s="40"/>
    </row>
    <row r="77" spans="2:5" ht="13.5" x14ac:dyDescent="0.2">
      <c r="B77" s="42"/>
      <c r="C77" s="38" t="s">
        <v>121</v>
      </c>
      <c r="D77" s="39"/>
      <c r="E77" s="40"/>
    </row>
    <row r="78" spans="2:5" ht="13.5" x14ac:dyDescent="0.2">
      <c r="B78" s="42"/>
      <c r="C78" s="38" t="s">
        <v>59</v>
      </c>
      <c r="D78" s="39"/>
      <c r="E78" s="40"/>
    </row>
    <row r="79" spans="2:5" x14ac:dyDescent="0.2">
      <c r="B79" s="42"/>
      <c r="C79" s="39"/>
      <c r="D79" s="39"/>
      <c r="E79" s="40"/>
    </row>
    <row r="80" spans="2:5" x14ac:dyDescent="0.2">
      <c r="B80" s="42"/>
      <c r="C80" s="39"/>
      <c r="D80" s="39"/>
      <c r="E80" s="40"/>
    </row>
    <row r="81" spans="2:5" x14ac:dyDescent="0.2">
      <c r="B81" s="42"/>
      <c r="C81" s="39"/>
      <c r="D81" s="39"/>
      <c r="E81" s="40"/>
    </row>
    <row r="82" spans="2:5" x14ac:dyDescent="0.2">
      <c r="B82" s="42"/>
      <c r="C82" s="39"/>
      <c r="D82" s="39"/>
      <c r="E82" s="40"/>
    </row>
    <row r="83" spans="2:5" x14ac:dyDescent="0.2">
      <c r="B83" s="42"/>
      <c r="C83" s="39"/>
      <c r="D83" s="39"/>
      <c r="E83" s="40"/>
    </row>
    <row r="84" spans="2:5" x14ac:dyDescent="0.2">
      <c r="B84" s="42"/>
      <c r="C84" s="39"/>
      <c r="D84" s="39"/>
      <c r="E84" s="40"/>
    </row>
    <row r="85" spans="2:5" x14ac:dyDescent="0.2">
      <c r="B85" s="42"/>
      <c r="C85" s="39"/>
      <c r="D85" s="39"/>
      <c r="E85" s="40"/>
    </row>
    <row r="86" spans="2:5" x14ac:dyDescent="0.2">
      <c r="B86" s="42"/>
      <c r="C86" s="39"/>
      <c r="D86" s="39"/>
      <c r="E86" s="40"/>
    </row>
    <row r="87" spans="2:5" x14ac:dyDescent="0.2">
      <c r="B87" s="42"/>
      <c r="C87" s="39"/>
      <c r="D87" s="39"/>
      <c r="E87" s="40"/>
    </row>
    <row r="88" spans="2:5" x14ac:dyDescent="0.2">
      <c r="B88" s="42"/>
      <c r="C88" s="39"/>
      <c r="D88" s="39"/>
      <c r="E88" s="40"/>
    </row>
    <row r="89" spans="2:5" x14ac:dyDescent="0.2">
      <c r="B89" s="42"/>
      <c r="C89" s="39"/>
      <c r="D89" s="39"/>
      <c r="E89" s="40"/>
    </row>
    <row r="90" spans="2:5" x14ac:dyDescent="0.2">
      <c r="B90" s="42"/>
      <c r="C90" s="39"/>
      <c r="D90" s="39"/>
      <c r="E90" s="40"/>
    </row>
    <row r="91" spans="2:5" x14ac:dyDescent="0.2">
      <c r="B91" s="42"/>
      <c r="C91" s="39"/>
      <c r="D91" s="39"/>
      <c r="E91" s="40"/>
    </row>
    <row r="92" spans="2:5" x14ac:dyDescent="0.2">
      <c r="B92" s="43"/>
      <c r="C92" s="44"/>
      <c r="D92" s="44"/>
      <c r="E92" s="45"/>
    </row>
  </sheetData>
  <phoneticPr fontId="15" type="noConversion"/>
  <pageMargins left="0.7" right="0.7" top="0.75" bottom="0.75" header="0.3" footer="0.3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O87"/>
  <sheetViews>
    <sheetView showGridLines="0" zoomScale="85" zoomScaleNormal="85" workbookViewId="0">
      <selection activeCell="E4" sqref="E4"/>
    </sheetView>
  </sheetViews>
  <sheetFormatPr defaultRowHeight="12.75" x14ac:dyDescent="0.2"/>
  <cols>
    <col min="1" max="1" width="3.5703125" style="65" customWidth="1"/>
    <col min="2" max="2" width="15.5703125" style="65" bestFit="1" customWidth="1"/>
    <col min="3" max="3" width="35.7109375" style="65" customWidth="1"/>
    <col min="4" max="4" width="13.7109375" style="65" bestFit="1" customWidth="1"/>
    <col min="5" max="5" width="19.5703125" style="65" bestFit="1" customWidth="1"/>
    <col min="6" max="6" width="18.7109375" style="65" customWidth="1"/>
    <col min="7" max="7" width="19" style="65" customWidth="1"/>
    <col min="8" max="8" width="16.5703125" style="65" customWidth="1"/>
    <col min="9" max="9" width="13.7109375" style="65" bestFit="1" customWidth="1"/>
    <col min="10" max="10" width="17.85546875" style="65" customWidth="1"/>
    <col min="11" max="12" width="13.42578125" style="65" customWidth="1"/>
    <col min="13" max="13" width="10.140625" style="65" customWidth="1"/>
    <col min="14" max="14" width="15.5703125" style="65" customWidth="1"/>
    <col min="15" max="15" width="15.42578125" style="65" bestFit="1" customWidth="1"/>
    <col min="16" max="24" width="9.140625" style="65"/>
    <col min="25" max="25" width="13.5703125" style="65" customWidth="1"/>
    <col min="26" max="16384" width="9.140625" style="65"/>
  </cols>
  <sheetData>
    <row r="2" spans="2:15" ht="13.5" x14ac:dyDescent="0.2">
      <c r="B2" s="200"/>
      <c r="C2" s="200" t="s">
        <v>591</v>
      </c>
      <c r="D2" s="201">
        <v>40000</v>
      </c>
      <c r="E2" s="202"/>
      <c r="F2" s="200"/>
      <c r="G2" s="200"/>
      <c r="H2" s="203"/>
      <c r="I2" s="200"/>
      <c r="J2" s="200"/>
      <c r="K2" s="204"/>
      <c r="L2" s="203"/>
      <c r="M2" s="203"/>
      <c r="N2" s="203"/>
      <c r="O2" s="205" t="s">
        <v>22</v>
      </c>
    </row>
    <row r="3" spans="2:15" ht="18" thickBot="1" x14ac:dyDescent="0.25">
      <c r="B3" s="8" t="s">
        <v>24</v>
      </c>
      <c r="C3" s="8" t="s">
        <v>25</v>
      </c>
      <c r="D3" s="206" t="s">
        <v>26</v>
      </c>
      <c r="E3" s="26" t="s">
        <v>41</v>
      </c>
      <c r="F3" s="11" t="s">
        <v>27</v>
      </c>
      <c r="G3" s="206" t="s">
        <v>28</v>
      </c>
      <c r="H3" s="206" t="s">
        <v>29</v>
      </c>
      <c r="I3" s="206" t="s">
        <v>30</v>
      </c>
      <c r="J3" s="10" t="s">
        <v>31</v>
      </c>
      <c r="K3" s="10" t="s">
        <v>32</v>
      </c>
      <c r="L3" s="10" t="s">
        <v>33</v>
      </c>
      <c r="M3" s="12" t="s">
        <v>34</v>
      </c>
      <c r="N3" s="207" t="s">
        <v>35</v>
      </c>
      <c r="O3" s="207" t="s">
        <v>36</v>
      </c>
    </row>
    <row r="4" spans="2:15" ht="14.25" thickTop="1" x14ac:dyDescent="0.2">
      <c r="B4" s="208" t="s">
        <v>114</v>
      </c>
      <c r="C4" s="208" t="s">
        <v>115</v>
      </c>
      <c r="D4" s="209">
        <v>38000</v>
      </c>
      <c r="E4" s="210">
        <f>IF(G4&gt;=D4,0,D4-G4)</f>
        <v>0</v>
      </c>
      <c r="F4" s="211">
        <f>((((H4*K4-J4-L4)*I4)*1000000))/1000000</f>
        <v>64423.443202607399</v>
      </c>
      <c r="G4" s="209">
        <f>((H4*K4-L4-J4)*I4)/(1+N4/100)^M4</f>
        <v>53613.274370199739</v>
      </c>
      <c r="H4" s="212">
        <v>654274</v>
      </c>
      <c r="I4" s="213">
        <f>400/2700</f>
        <v>0.14814814814814814</v>
      </c>
      <c r="J4" s="212">
        <v>0</v>
      </c>
      <c r="K4" s="214">
        <f>H57</f>
        <v>0.66464239999999997</v>
      </c>
      <c r="L4" s="212">
        <v>0</v>
      </c>
      <c r="M4" s="215">
        <f>L24+1</f>
        <v>3.9178082191780823</v>
      </c>
      <c r="N4" s="216">
        <v>4.8</v>
      </c>
      <c r="O4" s="217" t="s">
        <v>38</v>
      </c>
    </row>
    <row r="5" spans="2:15" x14ac:dyDescent="0.2">
      <c r="E5" s="143"/>
      <c r="O5" s="104"/>
    </row>
    <row r="6" spans="2:15" x14ac:dyDescent="0.2">
      <c r="E6" s="143"/>
    </row>
    <row r="8" spans="2:15" ht="16.5" x14ac:dyDescent="0.2">
      <c r="B8" s="218" t="s">
        <v>62</v>
      </c>
      <c r="C8" s="93"/>
      <c r="D8" s="117"/>
      <c r="E8" s="118"/>
      <c r="G8" s="218" t="s">
        <v>56</v>
      </c>
      <c r="H8" s="117"/>
      <c r="I8" s="117"/>
      <c r="J8" s="117"/>
      <c r="K8" s="117"/>
      <c r="L8" s="117"/>
      <c r="M8" s="117"/>
      <c r="N8" s="118"/>
    </row>
    <row r="9" spans="2:15" ht="16.5" x14ac:dyDescent="0.2">
      <c r="B9" s="219"/>
      <c r="C9" s="89"/>
      <c r="D9" s="120"/>
      <c r="E9" s="121"/>
      <c r="G9" s="90"/>
      <c r="H9" s="120"/>
      <c r="I9" s="120"/>
      <c r="J9" s="120"/>
      <c r="K9" s="120"/>
      <c r="L9" s="120"/>
      <c r="M9" s="120"/>
      <c r="N9" s="121"/>
    </row>
    <row r="10" spans="2:15" ht="13.5" x14ac:dyDescent="0.2">
      <c r="B10" s="122"/>
      <c r="C10" s="120"/>
      <c r="D10" s="120"/>
      <c r="E10" s="121"/>
      <c r="G10" s="90" t="s">
        <v>124</v>
      </c>
      <c r="H10" s="120"/>
      <c r="I10" s="120"/>
      <c r="J10" s="120"/>
      <c r="K10" s="120"/>
      <c r="L10" s="120"/>
      <c r="M10" s="120"/>
      <c r="N10" s="121"/>
    </row>
    <row r="11" spans="2:15" x14ac:dyDescent="0.2">
      <c r="B11" s="122"/>
      <c r="C11" s="120"/>
      <c r="D11" s="120"/>
      <c r="E11" s="121"/>
      <c r="F11" s="86"/>
      <c r="G11" s="122"/>
      <c r="H11" s="120"/>
      <c r="I11" s="120"/>
      <c r="J11" s="120"/>
      <c r="K11" s="120"/>
      <c r="L11" s="120"/>
      <c r="M11" s="120"/>
      <c r="N11" s="121"/>
    </row>
    <row r="12" spans="2:15" x14ac:dyDescent="0.2">
      <c r="B12" s="122"/>
      <c r="C12" s="120"/>
      <c r="D12" s="120"/>
      <c r="E12" s="121"/>
      <c r="G12" s="122"/>
      <c r="H12" s="120"/>
      <c r="I12" s="120"/>
      <c r="J12" s="120"/>
      <c r="K12" s="120"/>
      <c r="L12" s="120"/>
      <c r="M12" s="120"/>
      <c r="N12" s="121"/>
    </row>
    <row r="13" spans="2:15" x14ac:dyDescent="0.2">
      <c r="B13" s="122"/>
      <c r="C13" s="120"/>
      <c r="D13" s="120"/>
      <c r="E13" s="121"/>
      <c r="G13" s="122"/>
      <c r="H13" s="120"/>
      <c r="I13" s="120"/>
      <c r="J13" s="120"/>
      <c r="K13" s="120"/>
      <c r="L13" s="120"/>
      <c r="M13" s="120"/>
      <c r="N13" s="121"/>
    </row>
    <row r="14" spans="2:15" x14ac:dyDescent="0.2">
      <c r="B14" s="122"/>
      <c r="C14" s="120"/>
      <c r="D14" s="120"/>
      <c r="E14" s="121"/>
      <c r="G14" s="122"/>
      <c r="H14" s="120"/>
      <c r="I14" s="120"/>
      <c r="J14" s="120"/>
      <c r="K14" s="120"/>
      <c r="L14" s="120"/>
      <c r="M14" s="120"/>
      <c r="N14" s="121"/>
    </row>
    <row r="15" spans="2:15" x14ac:dyDescent="0.2">
      <c r="B15" s="122"/>
      <c r="C15" s="120"/>
      <c r="D15" s="120"/>
      <c r="E15" s="121"/>
      <c r="G15" s="122"/>
      <c r="H15" s="120"/>
      <c r="I15" s="120"/>
      <c r="J15" s="120"/>
      <c r="K15" s="120"/>
      <c r="L15" s="120"/>
      <c r="M15" s="120"/>
      <c r="N15" s="121"/>
    </row>
    <row r="16" spans="2:15" x14ac:dyDescent="0.2">
      <c r="B16" s="122"/>
      <c r="C16" s="120" t="s">
        <v>134</v>
      </c>
      <c r="D16" s="220">
        <v>0.68210000000000004</v>
      </c>
      <c r="E16" s="121"/>
      <c r="G16" s="122"/>
      <c r="H16" s="120"/>
      <c r="I16" s="120"/>
      <c r="J16" s="120"/>
      <c r="K16" s="120"/>
      <c r="L16" s="120"/>
      <c r="M16" s="120"/>
      <c r="N16" s="121"/>
    </row>
    <row r="17" spans="2:14" x14ac:dyDescent="0.2">
      <c r="B17" s="122"/>
      <c r="C17" s="120" t="s">
        <v>135</v>
      </c>
      <c r="D17" s="220">
        <v>0.31790000000000002</v>
      </c>
      <c r="E17" s="121"/>
      <c r="G17" s="122"/>
      <c r="H17" s="120"/>
      <c r="I17" s="120"/>
      <c r="J17" s="120"/>
      <c r="K17" s="120"/>
      <c r="L17" s="120"/>
      <c r="M17" s="120"/>
      <c r="N17" s="121"/>
    </row>
    <row r="18" spans="2:14" x14ac:dyDescent="0.2">
      <c r="B18" s="123"/>
      <c r="C18" s="124"/>
      <c r="D18" s="124"/>
      <c r="E18" s="125"/>
      <c r="G18" s="123"/>
      <c r="H18" s="124"/>
      <c r="I18" s="124"/>
      <c r="J18" s="124"/>
      <c r="K18" s="124"/>
      <c r="L18" s="124"/>
      <c r="M18" s="124"/>
      <c r="N18" s="125"/>
    </row>
    <row r="19" spans="2:14" x14ac:dyDescent="0.2">
      <c r="G19" s="120"/>
      <c r="H19" s="120"/>
      <c r="I19" s="120"/>
      <c r="J19" s="120"/>
      <c r="K19" s="120"/>
      <c r="L19" s="120"/>
      <c r="M19" s="120"/>
      <c r="N19" s="120"/>
    </row>
    <row r="20" spans="2:14" ht="16.5" x14ac:dyDescent="0.2">
      <c r="B20" s="218" t="s">
        <v>57</v>
      </c>
      <c r="C20" s="117"/>
      <c r="D20" s="117"/>
      <c r="E20" s="118"/>
      <c r="G20" s="221" t="s">
        <v>578</v>
      </c>
      <c r="H20" s="117"/>
      <c r="I20" s="117"/>
      <c r="J20" s="117"/>
      <c r="K20" s="117"/>
      <c r="L20" s="117"/>
      <c r="M20" s="117"/>
      <c r="N20" s="118"/>
    </row>
    <row r="21" spans="2:14" ht="16.5" x14ac:dyDescent="0.2">
      <c r="B21" s="122"/>
      <c r="C21" s="222" t="s">
        <v>583</v>
      </c>
      <c r="D21" s="120"/>
      <c r="E21" s="121"/>
      <c r="G21" s="122"/>
      <c r="H21" s="120"/>
      <c r="I21" s="120"/>
      <c r="J21" s="120"/>
      <c r="K21" s="120"/>
      <c r="L21" s="120"/>
      <c r="M21" s="120"/>
      <c r="N21" s="121"/>
    </row>
    <row r="22" spans="2:14" ht="13.5" x14ac:dyDescent="0.2">
      <c r="B22" s="122"/>
      <c r="C22" s="89" t="s">
        <v>58</v>
      </c>
      <c r="D22" s="120"/>
      <c r="E22" s="121"/>
      <c r="G22" s="122"/>
      <c r="H22" s="120"/>
      <c r="I22" s="120"/>
      <c r="J22" s="120"/>
      <c r="K22" s="120"/>
      <c r="L22" s="223">
        <v>45473</v>
      </c>
      <c r="M22" s="224" t="s">
        <v>69</v>
      </c>
      <c r="N22" s="121"/>
    </row>
    <row r="23" spans="2:14" x14ac:dyDescent="0.2">
      <c r="B23" s="122"/>
      <c r="C23" s="120"/>
      <c r="D23" s="120"/>
      <c r="E23" s="121"/>
      <c r="G23" s="122"/>
      <c r="H23" s="120"/>
      <c r="I23" s="120"/>
      <c r="J23" s="120"/>
      <c r="K23" s="120"/>
      <c r="L23" s="223">
        <v>46538</v>
      </c>
      <c r="M23" s="224" t="s">
        <v>116</v>
      </c>
      <c r="N23" s="121"/>
    </row>
    <row r="24" spans="2:14" x14ac:dyDescent="0.2">
      <c r="B24" s="122"/>
      <c r="C24" s="120"/>
      <c r="D24" s="120"/>
      <c r="E24" s="121"/>
      <c r="G24" s="122"/>
      <c r="H24" s="120"/>
      <c r="I24" s="120"/>
      <c r="J24" s="120"/>
      <c r="K24" s="120"/>
      <c r="L24" s="225">
        <f>(L23-L22)/365</f>
        <v>2.9178082191780823</v>
      </c>
      <c r="M24" s="224" t="s">
        <v>117</v>
      </c>
      <c r="N24" s="121"/>
    </row>
    <row r="25" spans="2:14" x14ac:dyDescent="0.2">
      <c r="B25" s="122"/>
      <c r="C25" s="120"/>
      <c r="D25" s="120"/>
      <c r="E25" s="121"/>
      <c r="G25" s="122"/>
      <c r="H25" s="120"/>
      <c r="I25" s="120"/>
      <c r="J25" s="120"/>
      <c r="K25" s="120"/>
      <c r="L25" s="225">
        <f>L24*12</f>
        <v>35.013698630136986</v>
      </c>
      <c r="M25" s="224" t="s">
        <v>118</v>
      </c>
      <c r="N25" s="121"/>
    </row>
    <row r="26" spans="2:14" x14ac:dyDescent="0.2">
      <c r="B26" s="122"/>
      <c r="C26" s="120"/>
      <c r="D26" s="120"/>
      <c r="E26" s="121"/>
      <c r="G26" s="122"/>
      <c r="H26" s="120"/>
      <c r="I26" s="120"/>
      <c r="J26" s="120"/>
      <c r="K26" s="120"/>
      <c r="L26" s="120"/>
      <c r="M26" s="120"/>
      <c r="N26" s="121"/>
    </row>
    <row r="27" spans="2:14" x14ac:dyDescent="0.2">
      <c r="B27" s="122"/>
      <c r="C27" s="120"/>
      <c r="D27" s="120"/>
      <c r="E27" s="121"/>
      <c r="G27" s="122"/>
      <c r="H27" s="120"/>
      <c r="I27" s="120"/>
      <c r="J27" s="120"/>
      <c r="K27" s="120"/>
      <c r="L27" s="120"/>
      <c r="M27" s="120"/>
      <c r="N27" s="121"/>
    </row>
    <row r="28" spans="2:14" x14ac:dyDescent="0.2">
      <c r="B28" s="122"/>
      <c r="C28" s="120"/>
      <c r="D28" s="120"/>
      <c r="E28" s="121"/>
      <c r="G28" s="122"/>
      <c r="H28" s="120"/>
      <c r="I28" s="120"/>
      <c r="J28" s="120"/>
      <c r="K28" s="120"/>
      <c r="L28" s="120"/>
      <c r="M28" s="120"/>
      <c r="N28" s="121"/>
    </row>
    <row r="29" spans="2:14" x14ac:dyDescent="0.2">
      <c r="B29" s="122"/>
      <c r="C29" s="120"/>
      <c r="D29" s="120"/>
      <c r="E29" s="121"/>
      <c r="G29" s="122"/>
      <c r="H29" s="120"/>
      <c r="I29" s="120"/>
      <c r="J29" s="120"/>
      <c r="K29" s="120"/>
      <c r="L29" s="120"/>
      <c r="M29" s="120"/>
      <c r="N29" s="121"/>
    </row>
    <row r="30" spans="2:14" x14ac:dyDescent="0.2">
      <c r="B30" s="122"/>
      <c r="C30" s="120"/>
      <c r="D30" s="120"/>
      <c r="E30" s="121"/>
      <c r="G30" s="122"/>
      <c r="H30" s="120"/>
      <c r="I30" s="120"/>
      <c r="J30" s="120"/>
      <c r="K30" s="120"/>
      <c r="L30" s="120"/>
      <c r="M30" s="120"/>
      <c r="N30" s="121"/>
    </row>
    <row r="31" spans="2:14" x14ac:dyDescent="0.2">
      <c r="B31" s="122"/>
      <c r="C31" s="120"/>
      <c r="D31" s="120"/>
      <c r="E31" s="121"/>
      <c r="G31" s="122"/>
      <c r="H31" s="120"/>
      <c r="I31" s="120"/>
      <c r="J31" s="120"/>
      <c r="K31" s="120"/>
      <c r="L31" s="120"/>
      <c r="M31" s="120"/>
      <c r="N31" s="121"/>
    </row>
    <row r="32" spans="2:14" x14ac:dyDescent="0.2">
      <c r="B32" s="122"/>
      <c r="C32" s="120"/>
      <c r="D32" s="120"/>
      <c r="E32" s="121"/>
      <c r="G32" s="123"/>
      <c r="H32" s="124"/>
      <c r="I32" s="124"/>
      <c r="J32" s="124"/>
      <c r="K32" s="124"/>
      <c r="L32" s="124"/>
      <c r="M32" s="124"/>
      <c r="N32" s="125"/>
    </row>
    <row r="33" spans="2:5" x14ac:dyDescent="0.2">
      <c r="B33" s="122"/>
      <c r="C33" s="120"/>
      <c r="D33" s="120"/>
      <c r="E33" s="121"/>
    </row>
    <row r="34" spans="2:5" x14ac:dyDescent="0.2">
      <c r="B34" s="122"/>
      <c r="C34" s="120"/>
      <c r="D34" s="120"/>
      <c r="E34" s="121"/>
    </row>
    <row r="35" spans="2:5" x14ac:dyDescent="0.2">
      <c r="B35" s="122"/>
      <c r="C35" s="120"/>
      <c r="D35" s="120"/>
      <c r="E35" s="121"/>
    </row>
    <row r="36" spans="2:5" x14ac:dyDescent="0.2">
      <c r="B36" s="122"/>
      <c r="C36" s="120"/>
      <c r="D36" s="120"/>
      <c r="E36" s="121"/>
    </row>
    <row r="37" spans="2:5" x14ac:dyDescent="0.2">
      <c r="B37" s="122"/>
      <c r="C37" s="120"/>
      <c r="D37" s="120"/>
      <c r="E37" s="121"/>
    </row>
    <row r="38" spans="2:5" x14ac:dyDescent="0.2">
      <c r="B38" s="122"/>
      <c r="C38" s="120"/>
      <c r="D38" s="120"/>
      <c r="E38" s="121"/>
    </row>
    <row r="39" spans="2:5" x14ac:dyDescent="0.2">
      <c r="B39" s="122"/>
      <c r="C39" s="120"/>
      <c r="D39" s="120"/>
      <c r="E39" s="121"/>
    </row>
    <row r="40" spans="2:5" x14ac:dyDescent="0.2">
      <c r="B40" s="122"/>
      <c r="C40" s="120"/>
      <c r="D40" s="120"/>
      <c r="E40" s="121"/>
    </row>
    <row r="41" spans="2:5" x14ac:dyDescent="0.2">
      <c r="B41" s="122"/>
      <c r="C41" s="120"/>
      <c r="D41" s="120"/>
      <c r="E41" s="121"/>
    </row>
    <row r="42" spans="2:5" x14ac:dyDescent="0.2">
      <c r="B42" s="122"/>
      <c r="C42" s="120"/>
      <c r="D42" s="120"/>
      <c r="E42" s="121"/>
    </row>
    <row r="43" spans="2:5" x14ac:dyDescent="0.2">
      <c r="B43" s="122"/>
      <c r="C43" s="120"/>
      <c r="D43" s="120"/>
      <c r="E43" s="121"/>
    </row>
    <row r="44" spans="2:5" x14ac:dyDescent="0.2">
      <c r="B44" s="122"/>
      <c r="C44" s="120"/>
      <c r="D44" s="120"/>
      <c r="E44" s="121"/>
    </row>
    <row r="45" spans="2:5" x14ac:dyDescent="0.2">
      <c r="B45" s="122"/>
      <c r="C45" s="120"/>
      <c r="D45" s="120"/>
      <c r="E45" s="121"/>
    </row>
    <row r="46" spans="2:5" x14ac:dyDescent="0.2">
      <c r="B46" s="122"/>
      <c r="C46" s="120"/>
      <c r="D46" s="120"/>
      <c r="E46" s="121"/>
    </row>
    <row r="47" spans="2:5" x14ac:dyDescent="0.2">
      <c r="B47" s="122"/>
      <c r="C47" s="120"/>
      <c r="D47" s="120"/>
      <c r="E47" s="121"/>
    </row>
    <row r="48" spans="2:5" x14ac:dyDescent="0.2">
      <c r="B48" s="122"/>
      <c r="C48" s="120"/>
      <c r="D48" s="120"/>
      <c r="E48" s="121"/>
    </row>
    <row r="49" spans="2:8" x14ac:dyDescent="0.2">
      <c r="B49" s="122"/>
      <c r="C49" s="120"/>
      <c r="D49" s="120"/>
      <c r="E49" s="121"/>
    </row>
    <row r="50" spans="2:8" x14ac:dyDescent="0.2">
      <c r="B50" s="122"/>
      <c r="C50" s="120"/>
      <c r="D50" s="120"/>
      <c r="E50" s="121"/>
    </row>
    <row r="51" spans="2:8" x14ac:dyDescent="0.2">
      <c r="B51" s="122"/>
      <c r="C51" s="120"/>
      <c r="D51" s="120"/>
      <c r="E51" s="121"/>
    </row>
    <row r="52" spans="2:8" x14ac:dyDescent="0.2">
      <c r="B52" s="122"/>
      <c r="C52" s="120"/>
      <c r="D52" s="120"/>
      <c r="E52" s="121"/>
    </row>
    <row r="53" spans="2:8" x14ac:dyDescent="0.2">
      <c r="B53" s="122"/>
      <c r="C53" s="120"/>
      <c r="D53" s="120"/>
      <c r="E53" s="121"/>
    </row>
    <row r="54" spans="2:8" ht="13.5" x14ac:dyDescent="0.2">
      <c r="B54" s="122"/>
      <c r="C54" s="89" t="s">
        <v>588</v>
      </c>
      <c r="D54" s="120"/>
      <c r="E54" s="121"/>
      <c r="F54" s="242" t="s">
        <v>125</v>
      </c>
      <c r="G54" s="242" t="s">
        <v>126</v>
      </c>
      <c r="H54" s="243" t="s">
        <v>137</v>
      </c>
    </row>
    <row r="55" spans="2:8" ht="13.5" x14ac:dyDescent="0.2">
      <c r="B55" s="122"/>
      <c r="C55" s="89" t="s">
        <v>58</v>
      </c>
      <c r="D55" s="120"/>
      <c r="E55" s="121"/>
      <c r="F55" s="242" t="s">
        <v>138</v>
      </c>
      <c r="G55" s="245">
        <v>0.77400000000000002</v>
      </c>
      <c r="H55" s="244">
        <f>G55*D16</f>
        <v>0.52794540000000001</v>
      </c>
    </row>
    <row r="56" spans="2:8" x14ac:dyDescent="0.2">
      <c r="B56" s="122"/>
      <c r="C56" s="120"/>
      <c r="D56" s="120"/>
      <c r="E56" s="121"/>
      <c r="F56" s="242" t="s">
        <v>139</v>
      </c>
      <c r="G56" s="245">
        <v>0.43</v>
      </c>
      <c r="H56" s="244">
        <f>G56*D17</f>
        <v>0.13669700000000001</v>
      </c>
    </row>
    <row r="57" spans="2:8" x14ac:dyDescent="0.2">
      <c r="B57" s="122"/>
      <c r="C57" s="120"/>
      <c r="D57" s="120"/>
      <c r="E57" s="121"/>
      <c r="H57" s="246">
        <f>SUM(H55:H56)</f>
        <v>0.66464239999999997</v>
      </c>
    </row>
    <row r="58" spans="2:8" x14ac:dyDescent="0.2">
      <c r="B58" s="122"/>
      <c r="C58" s="120"/>
      <c r="D58" s="120"/>
      <c r="E58" s="121"/>
    </row>
    <row r="59" spans="2:8" x14ac:dyDescent="0.2">
      <c r="B59" s="122"/>
      <c r="C59" s="120"/>
      <c r="D59" s="120"/>
      <c r="E59" s="121"/>
    </row>
    <row r="60" spans="2:8" x14ac:dyDescent="0.2">
      <c r="B60" s="122"/>
      <c r="C60" s="120"/>
      <c r="D60" s="120"/>
      <c r="E60" s="121"/>
    </row>
    <row r="61" spans="2:8" x14ac:dyDescent="0.2">
      <c r="B61" s="122"/>
      <c r="C61" s="120"/>
      <c r="D61" s="120"/>
      <c r="E61" s="121"/>
    </row>
    <row r="62" spans="2:8" x14ac:dyDescent="0.2">
      <c r="B62" s="122"/>
      <c r="C62" s="120"/>
      <c r="D62" s="120"/>
      <c r="E62" s="121"/>
    </row>
    <row r="63" spans="2:8" x14ac:dyDescent="0.2">
      <c r="B63" s="122"/>
      <c r="C63" s="120"/>
      <c r="D63" s="120"/>
      <c r="E63" s="121"/>
    </row>
    <row r="64" spans="2:8" x14ac:dyDescent="0.2">
      <c r="B64" s="122"/>
      <c r="C64" s="120"/>
      <c r="D64" s="120"/>
      <c r="E64" s="121"/>
    </row>
    <row r="65" spans="2:5" x14ac:dyDescent="0.2">
      <c r="B65" s="122"/>
      <c r="C65" s="120"/>
      <c r="D65" s="120"/>
      <c r="E65" s="121"/>
    </row>
    <row r="66" spans="2:5" x14ac:dyDescent="0.2">
      <c r="B66" s="122"/>
      <c r="C66" s="120"/>
      <c r="D66" s="120"/>
      <c r="E66" s="121"/>
    </row>
    <row r="67" spans="2:5" x14ac:dyDescent="0.2">
      <c r="B67" s="122"/>
      <c r="C67" s="120"/>
      <c r="D67" s="120"/>
      <c r="E67" s="121"/>
    </row>
    <row r="68" spans="2:5" x14ac:dyDescent="0.2">
      <c r="B68" s="122"/>
      <c r="C68" s="120"/>
      <c r="D68" s="120"/>
      <c r="E68" s="121"/>
    </row>
    <row r="69" spans="2:5" x14ac:dyDescent="0.2">
      <c r="B69" s="122"/>
      <c r="C69" s="120"/>
      <c r="D69" s="120"/>
      <c r="E69" s="121"/>
    </row>
    <row r="70" spans="2:5" x14ac:dyDescent="0.2">
      <c r="B70" s="122"/>
      <c r="C70" s="120"/>
      <c r="D70" s="120"/>
      <c r="E70" s="121"/>
    </row>
    <row r="71" spans="2:5" x14ac:dyDescent="0.2">
      <c r="B71" s="122"/>
      <c r="C71" s="120"/>
      <c r="D71" s="120"/>
      <c r="E71" s="121"/>
    </row>
    <row r="72" spans="2:5" x14ac:dyDescent="0.2">
      <c r="B72" s="122"/>
      <c r="C72" s="120"/>
      <c r="D72" s="120"/>
      <c r="E72" s="121"/>
    </row>
    <row r="73" spans="2:5" x14ac:dyDescent="0.2">
      <c r="B73" s="122"/>
      <c r="D73" s="120"/>
      <c r="E73" s="121"/>
    </row>
    <row r="74" spans="2:5" x14ac:dyDescent="0.2">
      <c r="B74" s="122"/>
      <c r="D74" s="120"/>
      <c r="E74" s="121"/>
    </row>
    <row r="75" spans="2:5" x14ac:dyDescent="0.2">
      <c r="B75" s="122"/>
      <c r="C75" s="120"/>
      <c r="D75" s="120"/>
      <c r="E75" s="121"/>
    </row>
    <row r="76" spans="2:5" x14ac:dyDescent="0.2">
      <c r="B76" s="122"/>
      <c r="C76" s="120"/>
      <c r="D76" s="120"/>
      <c r="E76" s="121"/>
    </row>
    <row r="77" spans="2:5" x14ac:dyDescent="0.2">
      <c r="B77" s="122"/>
      <c r="C77" s="120"/>
      <c r="D77" s="120"/>
      <c r="E77" s="121"/>
    </row>
    <row r="78" spans="2:5" x14ac:dyDescent="0.2">
      <c r="B78" s="122"/>
      <c r="C78" s="120"/>
      <c r="D78" s="120"/>
      <c r="E78" s="121"/>
    </row>
    <row r="79" spans="2:5" x14ac:dyDescent="0.2">
      <c r="B79" s="122"/>
      <c r="C79" s="120"/>
      <c r="D79" s="120"/>
      <c r="E79" s="121"/>
    </row>
    <row r="80" spans="2:5" x14ac:dyDescent="0.2">
      <c r="B80" s="122"/>
      <c r="C80" s="120"/>
      <c r="D80" s="120"/>
      <c r="E80" s="121"/>
    </row>
    <row r="81" spans="2:5" x14ac:dyDescent="0.2">
      <c r="B81" s="122"/>
      <c r="C81" s="120"/>
      <c r="D81" s="120"/>
      <c r="E81" s="121"/>
    </row>
    <row r="82" spans="2:5" x14ac:dyDescent="0.2">
      <c r="B82" s="122"/>
      <c r="C82" s="120"/>
      <c r="D82" s="120"/>
      <c r="E82" s="121"/>
    </row>
    <row r="83" spans="2:5" x14ac:dyDescent="0.2">
      <c r="B83" s="122"/>
      <c r="C83" s="120"/>
      <c r="D83" s="120"/>
      <c r="E83" s="121"/>
    </row>
    <row r="84" spans="2:5" ht="13.5" x14ac:dyDescent="0.2">
      <c r="B84" s="122"/>
      <c r="C84" s="89" t="s">
        <v>136</v>
      </c>
      <c r="D84" s="120"/>
      <c r="E84" s="121"/>
    </row>
    <row r="85" spans="2:5" ht="13.5" x14ac:dyDescent="0.2">
      <c r="B85" s="122"/>
      <c r="C85" s="89" t="s">
        <v>59</v>
      </c>
      <c r="D85" s="120"/>
      <c r="E85" s="121"/>
    </row>
    <row r="86" spans="2:5" x14ac:dyDescent="0.2">
      <c r="B86" s="122"/>
      <c r="C86" s="120"/>
      <c r="D86" s="120"/>
      <c r="E86" s="121"/>
    </row>
    <row r="87" spans="2:5" x14ac:dyDescent="0.2">
      <c r="B87" s="123"/>
      <c r="C87" s="124"/>
      <c r="D87" s="124"/>
      <c r="E87" s="125"/>
    </row>
  </sheetData>
  <phoneticPr fontId="15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  <pageSetUpPr fitToPage="1"/>
  </sheetPr>
  <dimension ref="A2:Y73"/>
  <sheetViews>
    <sheetView showGridLines="0" zoomScale="85" zoomScaleNormal="85" zoomScaleSheetLayoutView="80" workbookViewId="0">
      <selection activeCell="E1" sqref="E1"/>
    </sheetView>
  </sheetViews>
  <sheetFormatPr defaultRowHeight="16.5" x14ac:dyDescent="0.2"/>
  <cols>
    <col min="1" max="1" width="3" style="520" customWidth="1"/>
    <col min="2" max="2" width="18.85546875" style="520" customWidth="1"/>
    <col min="3" max="3" width="51.85546875" style="520" customWidth="1"/>
    <col min="4" max="4" width="22" style="521" customWidth="1"/>
    <col min="5" max="5" width="20.140625" style="520" customWidth="1"/>
    <col min="6" max="6" width="19.5703125" style="520" customWidth="1"/>
    <col min="7" max="7" width="18.42578125" style="520" customWidth="1"/>
    <col min="8" max="8" width="16.85546875" style="520" customWidth="1"/>
    <col min="9" max="9" width="13.5703125" style="520" customWidth="1"/>
    <col min="10" max="10" width="13.85546875" style="520" customWidth="1"/>
    <col min="11" max="12" width="11.42578125" style="520" customWidth="1"/>
    <col min="13" max="13" width="6.7109375" style="520" customWidth="1"/>
    <col min="14" max="14" width="13.42578125" style="522" customWidth="1"/>
    <col min="15" max="15" width="16" style="523" bestFit="1" customWidth="1"/>
    <col min="16" max="16" width="23.5703125" style="520" customWidth="1"/>
    <col min="17" max="17" width="16.7109375" style="520" customWidth="1"/>
    <col min="18" max="18" width="19.5703125" style="520" bestFit="1" customWidth="1"/>
    <col min="19" max="19" width="15.28515625" style="520" customWidth="1"/>
    <col min="20" max="20" width="15.85546875" style="520" customWidth="1"/>
    <col min="21" max="21" width="14.85546875" style="520" bestFit="1" customWidth="1"/>
    <col min="22" max="23" width="9.140625" style="520"/>
    <col min="24" max="25" width="9.140625" style="520" customWidth="1"/>
    <col min="26" max="16384" width="9.140625" style="520"/>
  </cols>
  <sheetData>
    <row r="2" spans="1:25" x14ac:dyDescent="0.2">
      <c r="B2" s="524"/>
      <c r="C2" s="524"/>
      <c r="D2" s="525"/>
      <c r="E2" s="526"/>
      <c r="F2" s="64">
        <f>E4*10^6</f>
        <v>4362728441.0947542</v>
      </c>
      <c r="G2" s="524"/>
      <c r="H2" s="527"/>
      <c r="I2" s="527"/>
      <c r="J2" s="527"/>
      <c r="K2" s="528"/>
      <c r="L2" s="527"/>
      <c r="M2" s="527"/>
      <c r="N2" s="527"/>
      <c r="O2" s="529" t="s">
        <v>674</v>
      </c>
    </row>
    <row r="3" spans="1:25" s="530" customFormat="1" ht="30" customHeight="1" thickBot="1" x14ac:dyDescent="0.25">
      <c r="B3" s="8" t="s">
        <v>675</v>
      </c>
      <c r="C3" s="8" t="s">
        <v>676</v>
      </c>
      <c r="D3" s="531" t="s">
        <v>677</v>
      </c>
      <c r="E3" s="26" t="s">
        <v>678</v>
      </c>
      <c r="F3" s="11" t="s">
        <v>679</v>
      </c>
      <c r="G3" s="531" t="s">
        <v>680</v>
      </c>
      <c r="H3" s="531" t="s">
        <v>681</v>
      </c>
      <c r="I3" s="531" t="s">
        <v>682</v>
      </c>
      <c r="J3" s="10" t="s">
        <v>683</v>
      </c>
      <c r="K3" s="10" t="s">
        <v>684</v>
      </c>
      <c r="L3" s="10" t="s">
        <v>685</v>
      </c>
      <c r="M3" s="12" t="s">
        <v>686</v>
      </c>
      <c r="N3" s="532" t="s">
        <v>687</v>
      </c>
      <c r="O3" s="532" t="s">
        <v>688</v>
      </c>
    </row>
    <row r="4" spans="1:25" ht="17.25" thickTop="1" x14ac:dyDescent="0.2">
      <c r="B4" s="533" t="s">
        <v>108</v>
      </c>
      <c r="C4" s="533" t="s">
        <v>109</v>
      </c>
      <c r="D4" s="534">
        <v>39380</v>
      </c>
      <c r="E4" s="535">
        <f>IF(G4&gt;=D4,"0",D4-G4)</f>
        <v>4362.7284410947541</v>
      </c>
      <c r="F4" s="536">
        <f>((((H4*K4-J4-L4)*I4)*1000000))/1000000</f>
        <v>37175.058822222229</v>
      </c>
      <c r="G4" s="537">
        <f>((H4*K4-L4-J4)*I4)/(1+N4/100)^M4</f>
        <v>35017.271558905246</v>
      </c>
      <c r="H4" s="538">
        <f>151075</f>
        <v>151075</v>
      </c>
      <c r="I4" s="539">
        <f>400/900</f>
        <v>0.44444444444444442</v>
      </c>
      <c r="J4" s="538">
        <v>0</v>
      </c>
      <c r="K4" s="540">
        <v>0.55700000000000005</v>
      </c>
      <c r="L4" s="538">
        <f>H4*K4*0.006</f>
        <v>504.89265000000006</v>
      </c>
      <c r="M4" s="541">
        <f>(5+10)/12</f>
        <v>1.25</v>
      </c>
      <c r="N4" s="542">
        <v>4.9000000000000004</v>
      </c>
      <c r="O4" s="543" t="s">
        <v>101</v>
      </c>
      <c r="P4" s="521"/>
      <c r="Q4" s="521"/>
      <c r="R4" s="521"/>
      <c r="S4" s="544"/>
      <c r="T4" s="545"/>
    </row>
    <row r="5" spans="1:25" s="554" customFormat="1" ht="18.75" customHeight="1" x14ac:dyDescent="0.2">
      <c r="A5" s="546"/>
      <c r="B5" s="547" t="s">
        <v>312</v>
      </c>
      <c r="C5" s="548"/>
      <c r="D5" s="549"/>
      <c r="E5" s="550">
        <v>10931.043604203009</v>
      </c>
      <c r="F5" s="149">
        <f>E4/D4</f>
        <v>0.11078538448691605</v>
      </c>
      <c r="G5" s="548"/>
      <c r="H5" s="551" t="s">
        <v>689</v>
      </c>
      <c r="I5" s="548"/>
      <c r="J5" s="548"/>
      <c r="K5" s="548"/>
      <c r="L5" s="548"/>
      <c r="M5" s="548"/>
      <c r="N5" s="552"/>
      <c r="O5" s="553"/>
      <c r="Q5" s="555"/>
      <c r="T5" s="545"/>
    </row>
    <row r="6" spans="1:25" s="554" customFormat="1" ht="18.75" customHeight="1" x14ac:dyDescent="0.55000000000000004">
      <c r="B6" s="547" t="s">
        <v>690</v>
      </c>
      <c r="C6" s="548"/>
      <c r="D6" s="556"/>
      <c r="E6" s="550"/>
      <c r="F6" s="556"/>
      <c r="G6" s="556"/>
      <c r="H6" s="557"/>
      <c r="I6" s="556"/>
      <c r="J6" s="148"/>
      <c r="K6" s="558"/>
      <c r="L6" s="556"/>
      <c r="M6" s="557"/>
      <c r="N6" s="559"/>
      <c r="O6" s="553"/>
    </row>
    <row r="7" spans="1:25" s="554" customFormat="1" ht="17.25" customHeight="1" x14ac:dyDescent="0.55000000000000004">
      <c r="B7" s="547" t="s">
        <v>691</v>
      </c>
      <c r="C7" s="557"/>
      <c r="E7" s="550"/>
      <c r="F7" s="557"/>
      <c r="G7" s="557"/>
      <c r="H7" s="557"/>
      <c r="I7" s="147"/>
      <c r="J7" s="557"/>
      <c r="K7" s="557"/>
      <c r="L7" s="557"/>
      <c r="M7" s="557"/>
      <c r="N7" s="560"/>
      <c r="O7" s="553"/>
    </row>
    <row r="8" spans="1:25" s="554" customFormat="1" ht="31.5" x14ac:dyDescent="0.55000000000000004">
      <c r="B8" s="561"/>
      <c r="C8" s="557"/>
      <c r="D8" s="562"/>
      <c r="E8" s="146"/>
      <c r="F8" s="557"/>
      <c r="G8" s="557"/>
      <c r="H8" s="557"/>
      <c r="I8" s="557"/>
      <c r="J8" s="557"/>
      <c r="K8" s="557"/>
      <c r="L8" s="557"/>
      <c r="M8" s="557"/>
      <c r="N8" s="560"/>
      <c r="O8" s="553"/>
    </row>
    <row r="9" spans="1:25" x14ac:dyDescent="0.2">
      <c r="B9" s="563" t="s">
        <v>692</v>
      </c>
      <c r="C9" s="564"/>
      <c r="D9" s="565"/>
      <c r="F9" s="566" t="s">
        <v>693</v>
      </c>
      <c r="G9" s="566"/>
      <c r="H9" s="566"/>
      <c r="I9" s="566"/>
      <c r="J9" s="566"/>
      <c r="K9" s="566"/>
      <c r="L9" s="566"/>
      <c r="N9" s="567" t="s">
        <v>694</v>
      </c>
      <c r="X9" s="568"/>
    </row>
    <row r="10" spans="1:25" x14ac:dyDescent="0.2">
      <c r="B10" s="569" t="s">
        <v>695</v>
      </c>
      <c r="C10" s="570"/>
      <c r="D10" s="571"/>
      <c r="E10" s="572"/>
      <c r="N10" s="567" t="s">
        <v>696</v>
      </c>
      <c r="Y10" s="573"/>
    </row>
    <row r="11" spans="1:25" x14ac:dyDescent="0.2">
      <c r="B11" s="574" t="s">
        <v>697</v>
      </c>
      <c r="C11" s="570"/>
      <c r="D11" s="571"/>
      <c r="N11" s="567" t="s">
        <v>698</v>
      </c>
      <c r="Y11" s="573"/>
    </row>
    <row r="12" spans="1:25" x14ac:dyDescent="0.2">
      <c r="B12" s="575"/>
      <c r="C12" s="576"/>
      <c r="D12" s="571"/>
      <c r="N12" s="522" t="s">
        <v>699</v>
      </c>
      <c r="Y12" s="573"/>
    </row>
    <row r="13" spans="1:25" x14ac:dyDescent="0.2">
      <c r="B13" s="577" t="s">
        <v>700</v>
      </c>
      <c r="C13" s="570"/>
      <c r="D13" s="571"/>
      <c r="Y13" s="578"/>
    </row>
    <row r="14" spans="1:25" x14ac:dyDescent="0.2">
      <c r="B14" s="574"/>
      <c r="C14" s="570"/>
      <c r="D14" s="571"/>
      <c r="Y14" s="573"/>
    </row>
    <row r="15" spans="1:25" ht="17.25" customHeight="1" x14ac:dyDescent="0.2">
      <c r="B15" s="574"/>
      <c r="C15" s="570"/>
      <c r="D15" s="571"/>
      <c r="N15" s="579" t="s">
        <v>701</v>
      </c>
      <c r="Y15" s="573"/>
    </row>
    <row r="16" spans="1:25" x14ac:dyDescent="0.2">
      <c r="B16" s="574"/>
      <c r="C16" s="570"/>
      <c r="D16" s="571"/>
      <c r="Y16" s="573"/>
    </row>
    <row r="17" spans="2:25" x14ac:dyDescent="0.2">
      <c r="B17" s="574"/>
      <c r="C17" s="570"/>
      <c r="D17" s="571"/>
      <c r="Y17" s="573"/>
    </row>
    <row r="18" spans="2:25" x14ac:dyDescent="0.2">
      <c r="C18" s="570"/>
      <c r="D18" s="571"/>
      <c r="Y18" s="573"/>
    </row>
    <row r="19" spans="2:25" x14ac:dyDescent="0.2">
      <c r="B19" s="574"/>
      <c r="C19" s="570"/>
      <c r="D19" s="571"/>
      <c r="U19" s="580"/>
      <c r="V19" s="580"/>
      <c r="Y19" s="578"/>
    </row>
    <row r="20" spans="2:25" x14ac:dyDescent="0.2">
      <c r="B20" s="574"/>
      <c r="C20" s="570"/>
      <c r="D20" s="571"/>
      <c r="U20" s="580"/>
      <c r="V20" s="580"/>
      <c r="Y20" s="573"/>
    </row>
    <row r="21" spans="2:25" x14ac:dyDescent="0.2">
      <c r="B21" s="574"/>
      <c r="C21" s="570"/>
      <c r="D21" s="571"/>
      <c r="N21" s="579" t="s">
        <v>702</v>
      </c>
      <c r="U21" s="580"/>
      <c r="V21" s="580"/>
      <c r="Y21" s="573"/>
    </row>
    <row r="22" spans="2:25" x14ac:dyDescent="0.2">
      <c r="B22" s="574"/>
      <c r="C22" s="570"/>
      <c r="D22" s="571"/>
      <c r="N22" s="522" t="s">
        <v>703</v>
      </c>
      <c r="O22" s="523">
        <v>307</v>
      </c>
      <c r="P22" s="520" t="str">
        <f>+O22/30&amp;"년"</f>
        <v>10.2333333333333년</v>
      </c>
      <c r="U22" s="580"/>
      <c r="V22" s="580"/>
      <c r="Y22" s="573"/>
    </row>
    <row r="23" spans="2:25" x14ac:dyDescent="0.2">
      <c r="B23" s="574"/>
      <c r="C23" s="570"/>
      <c r="D23" s="571"/>
      <c r="U23" s="580"/>
      <c r="V23" s="580"/>
      <c r="Y23" s="573"/>
    </row>
    <row r="24" spans="2:25" x14ac:dyDescent="0.2">
      <c r="B24" s="574"/>
      <c r="C24" s="570"/>
      <c r="D24" s="571"/>
      <c r="U24" s="580"/>
      <c r="V24" s="580"/>
      <c r="X24" s="572"/>
      <c r="Y24" s="578"/>
    </row>
    <row r="25" spans="2:25" x14ac:dyDescent="0.2">
      <c r="B25" s="574"/>
      <c r="C25" s="570"/>
      <c r="D25" s="571"/>
      <c r="U25" s="580"/>
      <c r="V25" s="580"/>
      <c r="Y25" s="573"/>
    </row>
    <row r="26" spans="2:25" x14ac:dyDescent="0.2">
      <c r="B26" s="574"/>
      <c r="C26" s="570"/>
      <c r="D26" s="571"/>
      <c r="U26" s="580"/>
      <c r="V26" s="580"/>
      <c r="Y26" s="573"/>
    </row>
    <row r="27" spans="2:25" x14ac:dyDescent="0.2">
      <c r="B27" s="574" t="s">
        <v>704</v>
      </c>
      <c r="C27" s="570"/>
      <c r="D27" s="571"/>
      <c r="U27" s="580"/>
      <c r="V27" s="580"/>
      <c r="Y27" s="573"/>
    </row>
    <row r="28" spans="2:25" x14ac:dyDescent="0.2">
      <c r="B28" s="574"/>
      <c r="C28" s="570"/>
      <c r="D28" s="571"/>
      <c r="U28" s="580"/>
      <c r="V28" s="580"/>
      <c r="Y28" s="573"/>
    </row>
    <row r="29" spans="2:25" x14ac:dyDescent="0.2">
      <c r="B29" s="574"/>
      <c r="C29" s="570"/>
      <c r="D29" s="571"/>
      <c r="U29" s="580"/>
      <c r="V29" s="580"/>
      <c r="Y29" s="573"/>
    </row>
    <row r="30" spans="2:25" x14ac:dyDescent="0.2">
      <c r="B30" s="574"/>
      <c r="C30" s="570"/>
      <c r="D30" s="571"/>
      <c r="U30" s="580"/>
      <c r="V30" s="580"/>
      <c r="Y30" s="573"/>
    </row>
    <row r="31" spans="2:25" x14ac:dyDescent="0.2">
      <c r="B31" s="574"/>
      <c r="C31" s="570"/>
      <c r="D31" s="571"/>
      <c r="U31" s="580"/>
      <c r="V31" s="580"/>
      <c r="Y31" s="573"/>
    </row>
    <row r="32" spans="2:25" x14ac:dyDescent="0.2">
      <c r="B32" s="574"/>
      <c r="C32" s="570"/>
      <c r="D32" s="571"/>
      <c r="U32" s="580"/>
      <c r="V32" s="580"/>
      <c r="Y32" s="573"/>
    </row>
    <row r="33" spans="2:25" x14ac:dyDescent="0.2">
      <c r="B33" s="574"/>
      <c r="C33" s="570"/>
      <c r="D33" s="571"/>
      <c r="U33" s="580"/>
      <c r="V33" s="580"/>
      <c r="Y33" s="573"/>
    </row>
    <row r="34" spans="2:25" x14ac:dyDescent="0.2">
      <c r="B34" s="574"/>
      <c r="C34" s="570"/>
      <c r="D34" s="571"/>
      <c r="U34" s="580"/>
      <c r="V34" s="580"/>
      <c r="Y34" s="573"/>
    </row>
    <row r="35" spans="2:25" x14ac:dyDescent="0.2">
      <c r="B35" s="574"/>
      <c r="C35" s="570"/>
      <c r="D35" s="571"/>
      <c r="U35" s="580"/>
      <c r="V35" s="580"/>
      <c r="Y35" s="573"/>
    </row>
    <row r="36" spans="2:25" x14ac:dyDescent="0.2">
      <c r="B36" s="574"/>
      <c r="C36" s="570"/>
      <c r="D36" s="571"/>
      <c r="V36" s="580"/>
      <c r="Y36" s="573"/>
    </row>
    <row r="37" spans="2:25" x14ac:dyDescent="0.2">
      <c r="B37" s="574"/>
      <c r="C37" s="570"/>
      <c r="D37" s="571"/>
      <c r="V37" s="580"/>
      <c r="Y37" s="573"/>
    </row>
    <row r="38" spans="2:25" x14ac:dyDescent="0.2">
      <c r="B38" s="574"/>
      <c r="C38" s="570"/>
      <c r="D38" s="571"/>
      <c r="V38" s="580"/>
      <c r="Y38" s="573"/>
    </row>
    <row r="39" spans="2:25" x14ac:dyDescent="0.2">
      <c r="B39" s="574"/>
      <c r="C39" s="570"/>
      <c r="D39" s="571"/>
      <c r="V39" s="580"/>
      <c r="Y39" s="573"/>
    </row>
    <row r="40" spans="2:25" x14ac:dyDescent="0.2">
      <c r="B40" s="574"/>
      <c r="C40" s="570"/>
      <c r="D40" s="571"/>
      <c r="V40" s="580"/>
      <c r="Y40" s="573"/>
    </row>
    <row r="41" spans="2:25" x14ac:dyDescent="0.2">
      <c r="B41" s="574"/>
      <c r="C41" s="570"/>
      <c r="D41" s="571"/>
      <c r="V41" s="580"/>
      <c r="Y41" s="573"/>
    </row>
    <row r="42" spans="2:25" x14ac:dyDescent="0.2">
      <c r="B42" s="574"/>
      <c r="C42" s="570"/>
      <c r="D42" s="571"/>
      <c r="V42" s="580"/>
      <c r="Y42" s="573"/>
    </row>
    <row r="43" spans="2:25" x14ac:dyDescent="0.2">
      <c r="B43" s="574"/>
      <c r="C43" s="570"/>
      <c r="D43" s="571"/>
      <c r="Y43" s="573"/>
    </row>
    <row r="44" spans="2:25" x14ac:dyDescent="0.2">
      <c r="B44" s="581"/>
      <c r="C44" s="582"/>
      <c r="D44" s="583"/>
      <c r="Y44" s="573"/>
    </row>
    <row r="45" spans="2:25" x14ac:dyDescent="0.2">
      <c r="B45" s="570"/>
      <c r="C45" s="570"/>
      <c r="D45" s="584"/>
      <c r="Y45" s="573"/>
    </row>
    <row r="46" spans="2:25" x14ac:dyDescent="0.2">
      <c r="B46" s="563" t="s">
        <v>705</v>
      </c>
      <c r="C46" s="564"/>
      <c r="D46" s="585"/>
      <c r="Y46" s="573"/>
    </row>
    <row r="47" spans="2:25" x14ac:dyDescent="0.2">
      <c r="B47" s="586" t="s">
        <v>706</v>
      </c>
      <c r="C47" s="570"/>
      <c r="D47" s="571"/>
    </row>
    <row r="48" spans="2:25" x14ac:dyDescent="0.2">
      <c r="B48" s="574"/>
      <c r="C48" s="570"/>
      <c r="D48" s="571"/>
    </row>
    <row r="49" spans="1:25" x14ac:dyDescent="0.2">
      <c r="B49" s="574"/>
      <c r="C49" s="570"/>
      <c r="D49" s="571"/>
    </row>
    <row r="50" spans="1:25" x14ac:dyDescent="0.2">
      <c r="B50" s="574"/>
      <c r="C50" s="570"/>
      <c r="D50" s="571"/>
    </row>
    <row r="51" spans="1:25" x14ac:dyDescent="0.2">
      <c r="B51" s="574"/>
      <c r="C51" s="570"/>
      <c r="D51" s="571"/>
    </row>
    <row r="52" spans="1:25" x14ac:dyDescent="0.2">
      <c r="B52" s="574"/>
      <c r="C52" s="570"/>
      <c r="D52" s="571"/>
    </row>
    <row r="53" spans="1:25" x14ac:dyDescent="0.2">
      <c r="B53" s="574"/>
      <c r="C53" s="570"/>
      <c r="D53" s="571"/>
    </row>
    <row r="54" spans="1:25" x14ac:dyDescent="0.2">
      <c r="B54" s="574"/>
      <c r="C54" s="570"/>
      <c r="D54" s="571"/>
    </row>
    <row r="55" spans="1:25" x14ac:dyDescent="0.2">
      <c r="B55" s="574"/>
      <c r="C55" s="570"/>
      <c r="D55" s="571"/>
    </row>
    <row r="56" spans="1:25" x14ac:dyDescent="0.2">
      <c r="B56" s="574"/>
      <c r="C56" s="570"/>
      <c r="D56" s="571"/>
    </row>
    <row r="57" spans="1:25" x14ac:dyDescent="0.2">
      <c r="B57" s="574"/>
      <c r="C57" s="570"/>
      <c r="D57" s="571"/>
    </row>
    <row r="58" spans="1:25" x14ac:dyDescent="0.2">
      <c r="B58" s="574"/>
      <c r="C58" s="570"/>
      <c r="D58" s="571"/>
      <c r="F58" s="566" t="s">
        <v>707</v>
      </c>
    </row>
    <row r="59" spans="1:25" s="523" customFormat="1" x14ac:dyDescent="0.2">
      <c r="A59" s="520"/>
      <c r="B59" s="574"/>
      <c r="C59" s="570"/>
      <c r="D59" s="571"/>
      <c r="E59" s="520"/>
      <c r="F59" s="520"/>
      <c r="G59" s="520"/>
      <c r="H59" s="520"/>
      <c r="I59" s="520"/>
      <c r="J59" s="520"/>
      <c r="K59" s="520"/>
      <c r="L59" s="520"/>
      <c r="M59" s="520"/>
      <c r="N59" s="522"/>
      <c r="P59" s="520"/>
      <c r="Q59" s="520"/>
      <c r="R59" s="520"/>
      <c r="S59" s="520"/>
      <c r="T59" s="520"/>
      <c r="U59" s="520"/>
      <c r="V59" s="520"/>
      <c r="W59" s="520"/>
      <c r="X59" s="520"/>
      <c r="Y59" s="520"/>
    </row>
    <row r="60" spans="1:25" s="523" customFormat="1" x14ac:dyDescent="0.2">
      <c r="A60" s="520"/>
      <c r="B60" s="574"/>
      <c r="C60" s="570"/>
      <c r="D60" s="571"/>
      <c r="E60" s="520"/>
      <c r="F60" s="520"/>
      <c r="G60" s="520"/>
      <c r="H60" s="520"/>
      <c r="I60" s="520"/>
      <c r="J60" s="520"/>
      <c r="K60" s="520"/>
      <c r="L60" s="520"/>
      <c r="M60" s="520"/>
      <c r="N60" s="522"/>
      <c r="P60" s="520"/>
      <c r="Q60" s="520"/>
      <c r="R60" s="520"/>
      <c r="S60" s="520"/>
      <c r="T60" s="520"/>
      <c r="U60" s="520"/>
      <c r="V60" s="520"/>
      <c r="W60" s="520"/>
      <c r="X60" s="520"/>
      <c r="Y60" s="520"/>
    </row>
    <row r="61" spans="1:25" s="523" customFormat="1" x14ac:dyDescent="0.2">
      <c r="A61" s="520"/>
      <c r="B61" s="574"/>
      <c r="C61" s="570"/>
      <c r="D61" s="571"/>
      <c r="E61" s="520"/>
      <c r="F61" s="520"/>
      <c r="G61" s="520"/>
      <c r="H61" s="520"/>
      <c r="I61" s="520"/>
      <c r="J61" s="520"/>
      <c r="K61" s="520"/>
      <c r="L61" s="520"/>
      <c r="M61" s="520"/>
      <c r="N61" s="522"/>
      <c r="P61" s="520"/>
      <c r="Q61" s="520"/>
      <c r="R61" s="520"/>
      <c r="S61" s="520"/>
      <c r="T61" s="520"/>
      <c r="U61" s="520"/>
      <c r="V61" s="520"/>
      <c r="W61" s="520"/>
      <c r="X61" s="520"/>
      <c r="Y61" s="520"/>
    </row>
    <row r="62" spans="1:25" s="523" customFormat="1" x14ac:dyDescent="0.2">
      <c r="A62" s="520"/>
      <c r="B62" s="574"/>
      <c r="C62" s="570"/>
      <c r="D62" s="571"/>
      <c r="E62" s="520"/>
      <c r="F62" s="520"/>
      <c r="G62" s="520"/>
      <c r="H62" s="520"/>
      <c r="I62" s="520"/>
      <c r="J62" s="520"/>
      <c r="K62" s="520"/>
      <c r="L62" s="520"/>
      <c r="M62" s="520"/>
      <c r="N62" s="522"/>
      <c r="P62" s="520"/>
      <c r="Q62" s="520"/>
      <c r="R62" s="520"/>
      <c r="S62" s="520"/>
      <c r="T62" s="520"/>
      <c r="U62" s="520"/>
      <c r="V62" s="520"/>
      <c r="W62" s="520"/>
      <c r="X62" s="520"/>
      <c r="Y62" s="520"/>
    </row>
    <row r="63" spans="1:25" x14ac:dyDescent="0.2">
      <c r="B63" s="574"/>
      <c r="C63" s="570"/>
      <c r="D63" s="571"/>
    </row>
    <row r="64" spans="1:25" x14ac:dyDescent="0.2">
      <c r="B64" s="574"/>
      <c r="C64" s="570"/>
      <c r="D64" s="571"/>
    </row>
    <row r="65" spans="1:25" x14ac:dyDescent="0.2">
      <c r="B65" s="574"/>
      <c r="C65" s="570"/>
      <c r="D65" s="571"/>
    </row>
    <row r="66" spans="1:25" x14ac:dyDescent="0.2">
      <c r="B66" s="574"/>
      <c r="C66" s="570"/>
      <c r="D66" s="571"/>
      <c r="N66" s="587"/>
    </row>
    <row r="67" spans="1:25" x14ac:dyDescent="0.2">
      <c r="B67" s="574"/>
      <c r="C67" s="570"/>
      <c r="D67" s="571"/>
    </row>
    <row r="68" spans="1:25" x14ac:dyDescent="0.2">
      <c r="B68" s="574"/>
      <c r="C68" s="570"/>
      <c r="D68" s="571"/>
    </row>
    <row r="69" spans="1:25" x14ac:dyDescent="0.2">
      <c r="B69" s="574"/>
      <c r="C69" s="570"/>
      <c r="D69" s="571"/>
      <c r="P69" s="588"/>
    </row>
    <row r="70" spans="1:25" x14ac:dyDescent="0.2">
      <c r="B70" s="574"/>
      <c r="C70" s="570"/>
      <c r="D70" s="571"/>
    </row>
    <row r="71" spans="1:25" x14ac:dyDescent="0.2">
      <c r="B71" s="574"/>
      <c r="C71" s="570"/>
      <c r="D71" s="571"/>
    </row>
    <row r="72" spans="1:25" x14ac:dyDescent="0.2">
      <c r="B72" s="574"/>
      <c r="C72" s="570"/>
      <c r="D72" s="571"/>
    </row>
    <row r="73" spans="1:25" s="523" customFormat="1" x14ac:dyDescent="0.2">
      <c r="A73" s="520"/>
      <c r="B73" s="581"/>
      <c r="C73" s="582"/>
      <c r="D73" s="583"/>
      <c r="E73" s="520"/>
      <c r="F73" s="520"/>
      <c r="G73" s="520"/>
      <c r="H73" s="520"/>
      <c r="I73" s="520"/>
      <c r="J73" s="520"/>
      <c r="K73" s="520"/>
      <c r="L73" s="520"/>
      <c r="M73" s="520"/>
      <c r="N73" s="522"/>
      <c r="P73" s="520"/>
      <c r="Q73" s="520"/>
      <c r="R73" s="520"/>
      <c r="S73" s="520"/>
      <c r="T73" s="520"/>
      <c r="U73" s="520"/>
      <c r="V73" s="520"/>
      <c r="W73" s="520"/>
      <c r="X73" s="520"/>
      <c r="Y73" s="520"/>
    </row>
  </sheetData>
  <phoneticPr fontId="15" type="noConversion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2" orientation="landscape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R110"/>
  <sheetViews>
    <sheetView showGridLines="0" zoomScale="85" zoomScaleNormal="85" workbookViewId="0">
      <selection activeCell="I66" sqref="I66"/>
    </sheetView>
  </sheetViews>
  <sheetFormatPr defaultRowHeight="12.75" x14ac:dyDescent="0.2"/>
  <cols>
    <col min="1" max="1" width="3.5703125" style="1" customWidth="1"/>
    <col min="2" max="2" width="15.5703125" style="1" bestFit="1" customWidth="1"/>
    <col min="3" max="3" width="42" style="1" customWidth="1"/>
    <col min="4" max="4" width="13.7109375" style="1" bestFit="1" customWidth="1"/>
    <col min="5" max="5" width="22" style="1" customWidth="1"/>
    <col min="6" max="6" width="17" style="1" bestFit="1" customWidth="1"/>
    <col min="7" max="7" width="19.42578125" style="1" customWidth="1"/>
    <col min="8" max="8" width="17.42578125" style="1" customWidth="1"/>
    <col min="9" max="9" width="18.140625" style="1" customWidth="1"/>
    <col min="10" max="10" width="14.28515625" style="1" bestFit="1" customWidth="1"/>
    <col min="11" max="12" width="11.5703125" style="1" bestFit="1" customWidth="1"/>
    <col min="13" max="13" width="6.7109375" style="1" bestFit="1" customWidth="1"/>
    <col min="14" max="14" width="7.5703125" style="1" bestFit="1" customWidth="1"/>
    <col min="15" max="15" width="15.42578125" style="1" bestFit="1" customWidth="1"/>
    <col min="16" max="16" width="23.85546875" style="1" bestFit="1" customWidth="1"/>
    <col min="17" max="17" width="17.42578125" style="1" bestFit="1" customWidth="1"/>
    <col min="18" max="18" width="9.85546875" style="1" bestFit="1" customWidth="1"/>
    <col min="19" max="16384" width="9.140625" style="1"/>
  </cols>
  <sheetData>
    <row r="2" spans="2:18" ht="16.5" x14ac:dyDescent="0.2">
      <c r="B2" s="2"/>
      <c r="C2" s="2" t="s">
        <v>591</v>
      </c>
      <c r="D2" s="3">
        <v>20000</v>
      </c>
      <c r="E2" s="4"/>
      <c r="F2" s="64">
        <f>E4*10^6</f>
        <v>0</v>
      </c>
      <c r="G2" s="2"/>
      <c r="H2" s="5"/>
      <c r="I2" s="2"/>
      <c r="J2" s="2"/>
      <c r="K2" s="6"/>
      <c r="L2" s="5"/>
      <c r="M2" s="5"/>
      <c r="O2" s="7" t="s">
        <v>22</v>
      </c>
      <c r="P2" s="198" t="s">
        <v>98</v>
      </c>
      <c r="Q2" s="198"/>
      <c r="R2" s="145" t="s">
        <v>99</v>
      </c>
    </row>
    <row r="3" spans="2:18" ht="18" thickBot="1" x14ac:dyDescent="0.25">
      <c r="B3" s="8" t="s">
        <v>24</v>
      </c>
      <c r="C3" s="8" t="s">
        <v>25</v>
      </c>
      <c r="D3" s="9" t="s">
        <v>26</v>
      </c>
      <c r="E3" s="26" t="s">
        <v>41</v>
      </c>
      <c r="F3" s="11" t="s">
        <v>27</v>
      </c>
      <c r="G3" s="9" t="s">
        <v>28</v>
      </c>
      <c r="H3" s="9" t="s">
        <v>29</v>
      </c>
      <c r="I3" s="9" t="s">
        <v>30</v>
      </c>
      <c r="J3" s="10" t="s">
        <v>31</v>
      </c>
      <c r="K3" s="10" t="s">
        <v>32</v>
      </c>
      <c r="L3" s="10" t="s">
        <v>33</v>
      </c>
      <c r="M3" s="12" t="s">
        <v>34</v>
      </c>
      <c r="N3" s="13" t="s">
        <v>35</v>
      </c>
      <c r="O3" s="13" t="s">
        <v>36</v>
      </c>
      <c r="P3" s="74" t="s">
        <v>97</v>
      </c>
      <c r="Q3" s="74" t="s">
        <v>100</v>
      </c>
      <c r="R3" s="65"/>
    </row>
    <row r="4" spans="2:18" ht="14.25" thickTop="1" x14ac:dyDescent="0.2">
      <c r="B4" s="15" t="s">
        <v>110</v>
      </c>
      <c r="C4" s="15" t="s">
        <v>111</v>
      </c>
      <c r="D4" s="16">
        <v>11600</v>
      </c>
      <c r="E4" s="17">
        <f>IF(G4&gt;=D4,0,D4-G4)</f>
        <v>0</v>
      </c>
      <c r="F4" s="18">
        <f t="shared" ref="F4" si="0">((((H4*K4-J4-L4)*I4)*1000000))/1000000</f>
        <v>27505.422222222227</v>
      </c>
      <c r="G4" s="16">
        <f>((H4*K4-L4-J4)*I4)/(1+N4/100)^M4</f>
        <v>24147.138362570593</v>
      </c>
      <c r="H4" s="19">
        <v>901600</v>
      </c>
      <c r="I4" s="20">
        <f>20000/90000</f>
        <v>0.22222222222222221</v>
      </c>
      <c r="J4" s="19">
        <v>538000</v>
      </c>
      <c r="K4" s="21">
        <v>0.73399999999999999</v>
      </c>
      <c r="L4" s="19">
        <v>0</v>
      </c>
      <c r="M4" s="22">
        <f>I12</f>
        <v>1.3780821917808219</v>
      </c>
      <c r="N4" s="23">
        <v>9.91</v>
      </c>
      <c r="O4" s="24" t="s">
        <v>74</v>
      </c>
      <c r="P4" s="153">
        <f>IF(D4*7%&lt;E4,0,IF(E4/D4&lt;7%,D4*1.4%,D4*8.4%-E4))</f>
        <v>162.39999999999998</v>
      </c>
      <c r="Q4" s="154">
        <f>E4+P4</f>
        <v>162.39999999999998</v>
      </c>
      <c r="R4" s="65"/>
    </row>
    <row r="5" spans="2:18" x14ac:dyDescent="0.2">
      <c r="D5" s="34"/>
      <c r="E5" s="33">
        <f>E4/D4</f>
        <v>0</v>
      </c>
      <c r="F5" s="28"/>
      <c r="R5" s="65"/>
    </row>
    <row r="6" spans="2:18" x14ac:dyDescent="0.2">
      <c r="E6" s="62">
        <f>E4/31000</f>
        <v>0</v>
      </c>
    </row>
    <row r="8" spans="2:18" ht="16.5" x14ac:dyDescent="0.2">
      <c r="B8" s="29" t="s">
        <v>113</v>
      </c>
      <c r="C8" s="47"/>
      <c r="D8" s="36"/>
      <c r="E8" s="37"/>
      <c r="G8" s="53" t="s">
        <v>580</v>
      </c>
      <c r="H8" s="36"/>
      <c r="I8" s="36"/>
      <c r="J8" s="36"/>
      <c r="K8" s="36"/>
      <c r="L8" s="36"/>
      <c r="M8" s="36"/>
      <c r="N8" s="37"/>
      <c r="R8" s="63"/>
    </row>
    <row r="9" spans="2:18" ht="16.5" x14ac:dyDescent="0.2">
      <c r="B9" s="49"/>
      <c r="C9" s="50"/>
      <c r="D9" s="39"/>
      <c r="E9" s="40"/>
      <c r="G9" s="42"/>
      <c r="H9" s="39"/>
      <c r="I9" s="39"/>
      <c r="J9" s="39"/>
      <c r="K9" s="39"/>
      <c r="L9" s="39"/>
      <c r="M9" s="39"/>
      <c r="N9" s="40"/>
    </row>
    <row r="10" spans="2:18" ht="16.5" x14ac:dyDescent="0.2">
      <c r="B10" s="49"/>
      <c r="C10" s="52"/>
      <c r="D10" s="39"/>
      <c r="E10" s="40"/>
      <c r="G10" s="227" t="s">
        <v>69</v>
      </c>
      <c r="H10" s="228">
        <v>45473</v>
      </c>
      <c r="I10" s="38"/>
      <c r="J10" s="39"/>
      <c r="K10" s="39"/>
      <c r="L10" s="39"/>
      <c r="M10" s="39"/>
      <c r="N10" s="40"/>
    </row>
    <row r="11" spans="2:18" ht="16.5" x14ac:dyDescent="0.2">
      <c r="B11" s="49"/>
      <c r="C11" s="52"/>
      <c r="D11" s="39"/>
      <c r="E11" s="40"/>
      <c r="G11" s="41" t="s">
        <v>116</v>
      </c>
      <c r="H11" s="196">
        <v>45611</v>
      </c>
      <c r="I11" s="38"/>
      <c r="J11" s="39"/>
      <c r="K11" s="39"/>
      <c r="L11" s="39"/>
      <c r="M11" s="39"/>
      <c r="N11" s="40"/>
    </row>
    <row r="12" spans="2:18" ht="16.5" x14ac:dyDescent="0.2">
      <c r="B12" s="49"/>
      <c r="C12" s="52"/>
      <c r="D12" s="39"/>
      <c r="E12" s="40"/>
      <c r="G12" s="41" t="s">
        <v>71</v>
      </c>
      <c r="H12" s="196">
        <f>H11+365</f>
        <v>45976</v>
      </c>
      <c r="I12" s="38">
        <f>YEARFRAC(H10,H12,3)</f>
        <v>1.3780821917808219</v>
      </c>
      <c r="J12" s="39"/>
      <c r="K12" s="39"/>
      <c r="L12" s="39"/>
      <c r="M12" s="39"/>
      <c r="N12" s="40"/>
    </row>
    <row r="13" spans="2:18" x14ac:dyDescent="0.2">
      <c r="B13" s="42"/>
      <c r="C13" s="39"/>
      <c r="D13" s="39"/>
      <c r="E13" s="40"/>
      <c r="G13" s="42"/>
      <c r="H13" s="39"/>
      <c r="I13" s="39"/>
      <c r="J13" s="39"/>
      <c r="K13" s="39"/>
      <c r="L13" s="39"/>
      <c r="M13" s="39"/>
      <c r="N13" s="40"/>
    </row>
    <row r="14" spans="2:18" x14ac:dyDescent="0.2">
      <c r="B14" s="42"/>
      <c r="C14" s="39"/>
      <c r="D14" s="39"/>
      <c r="E14" s="40"/>
      <c r="G14" s="42"/>
      <c r="H14" s="39"/>
      <c r="I14" s="39"/>
      <c r="J14" s="39"/>
      <c r="K14" s="39"/>
      <c r="L14" s="39"/>
      <c r="M14" s="39"/>
      <c r="N14" s="40"/>
    </row>
    <row r="15" spans="2:18" x14ac:dyDescent="0.2">
      <c r="B15" s="42"/>
      <c r="C15" s="39"/>
      <c r="D15" s="39"/>
      <c r="E15" s="40"/>
      <c r="G15" s="42"/>
      <c r="H15" s="39"/>
      <c r="I15" s="39"/>
      <c r="J15" s="39"/>
      <c r="K15" s="39"/>
      <c r="L15" s="39"/>
      <c r="M15" s="39"/>
      <c r="N15" s="40"/>
    </row>
    <row r="16" spans="2:18" x14ac:dyDescent="0.2">
      <c r="B16" s="42"/>
      <c r="C16" s="39"/>
      <c r="D16" s="39"/>
      <c r="E16" s="40"/>
      <c r="G16" s="42"/>
      <c r="H16" s="39"/>
      <c r="I16" s="39"/>
      <c r="J16" s="39"/>
      <c r="K16" s="39"/>
      <c r="L16" s="39"/>
      <c r="M16" s="39"/>
      <c r="N16" s="40"/>
    </row>
    <row r="17" spans="2:14" x14ac:dyDescent="0.2">
      <c r="B17" s="42"/>
      <c r="C17" s="39"/>
      <c r="D17" s="39"/>
      <c r="E17" s="40"/>
      <c r="G17" s="42"/>
      <c r="H17" s="39"/>
      <c r="I17" s="39"/>
      <c r="J17" s="39"/>
      <c r="K17" s="39"/>
      <c r="L17" s="39"/>
      <c r="M17" s="39"/>
      <c r="N17" s="40"/>
    </row>
    <row r="18" spans="2:14" x14ac:dyDescent="0.2">
      <c r="B18" s="42"/>
      <c r="C18" s="39"/>
      <c r="D18" s="39"/>
      <c r="E18" s="40"/>
      <c r="G18" s="42"/>
      <c r="H18" s="39"/>
      <c r="I18" s="39"/>
      <c r="J18" s="39"/>
      <c r="K18" s="39"/>
      <c r="L18" s="39"/>
      <c r="M18" s="39"/>
      <c r="N18" s="40"/>
    </row>
    <row r="19" spans="2:14" x14ac:dyDescent="0.2">
      <c r="B19" s="42"/>
      <c r="C19" s="39"/>
      <c r="D19" s="39"/>
      <c r="E19" s="40"/>
      <c r="G19" s="42"/>
      <c r="H19" s="39"/>
      <c r="I19" s="39"/>
      <c r="J19" s="39"/>
      <c r="K19" s="39"/>
      <c r="L19" s="39"/>
      <c r="M19" s="39"/>
      <c r="N19" s="40"/>
    </row>
    <row r="20" spans="2:14" x14ac:dyDescent="0.2">
      <c r="B20" s="42"/>
      <c r="C20" s="39"/>
      <c r="D20" s="39"/>
      <c r="E20" s="40"/>
      <c r="G20" s="42"/>
      <c r="H20" s="39"/>
      <c r="I20" s="39"/>
      <c r="J20" s="39"/>
      <c r="K20" s="39"/>
      <c r="L20" s="39"/>
      <c r="M20" s="39"/>
      <c r="N20" s="40"/>
    </row>
    <row r="21" spans="2:14" x14ac:dyDescent="0.2">
      <c r="B21" s="42"/>
      <c r="C21" s="39"/>
      <c r="D21" s="39"/>
      <c r="E21" s="40"/>
      <c r="G21" s="42"/>
      <c r="H21" s="39"/>
      <c r="I21" s="39"/>
      <c r="J21" s="39"/>
      <c r="K21" s="39"/>
      <c r="L21" s="39"/>
      <c r="M21" s="39"/>
      <c r="N21" s="40"/>
    </row>
    <row r="22" spans="2:14" x14ac:dyDescent="0.2">
      <c r="B22" s="42"/>
      <c r="C22" s="39"/>
      <c r="D22" s="39"/>
      <c r="E22" s="40"/>
      <c r="G22" s="43"/>
      <c r="H22" s="44"/>
      <c r="I22" s="44"/>
      <c r="J22" s="44"/>
      <c r="K22" s="44"/>
      <c r="L22" s="44"/>
      <c r="M22" s="44"/>
      <c r="N22" s="45"/>
    </row>
    <row r="23" spans="2:14" x14ac:dyDescent="0.2">
      <c r="B23" s="43"/>
      <c r="C23" s="44"/>
      <c r="D23" s="44"/>
      <c r="E23" s="45"/>
    </row>
    <row r="25" spans="2:14" ht="16.5" x14ac:dyDescent="0.2">
      <c r="B25" s="197" t="s">
        <v>112</v>
      </c>
      <c r="C25" s="36"/>
      <c r="D25" s="36"/>
      <c r="E25" s="37"/>
    </row>
    <row r="26" spans="2:14" x14ac:dyDescent="0.2">
      <c r="B26" s="42"/>
      <c r="C26" s="195"/>
      <c r="D26" s="39"/>
      <c r="E26" s="40"/>
    </row>
    <row r="27" spans="2:14" x14ac:dyDescent="0.2">
      <c r="B27" s="42"/>
      <c r="C27" s="39"/>
      <c r="D27" s="39"/>
      <c r="E27" s="40"/>
    </row>
    <row r="28" spans="2:14" x14ac:dyDescent="0.2">
      <c r="B28" s="42"/>
      <c r="C28" s="39"/>
      <c r="D28" s="39"/>
      <c r="E28" s="40"/>
    </row>
    <row r="29" spans="2:14" x14ac:dyDescent="0.2">
      <c r="B29" s="42"/>
      <c r="C29" s="39"/>
      <c r="D29" s="39"/>
      <c r="E29" s="40"/>
    </row>
    <row r="30" spans="2:14" x14ac:dyDescent="0.2">
      <c r="B30" s="42"/>
      <c r="C30" s="39"/>
      <c r="D30" s="39"/>
      <c r="E30" s="40"/>
    </row>
    <row r="31" spans="2:14" x14ac:dyDescent="0.2">
      <c r="B31" s="42"/>
      <c r="C31" s="39"/>
      <c r="D31" s="39"/>
      <c r="E31" s="40"/>
    </row>
    <row r="32" spans="2:14" x14ac:dyDescent="0.2">
      <c r="B32" s="42"/>
      <c r="C32" s="39"/>
      <c r="D32" s="39"/>
      <c r="E32" s="40"/>
      <c r="G32" s="39"/>
      <c r="H32" s="39"/>
      <c r="I32" s="39"/>
      <c r="J32" s="39"/>
      <c r="K32" s="39"/>
      <c r="L32" s="39"/>
      <c r="M32" s="39"/>
      <c r="N32" s="39"/>
    </row>
    <row r="33" spans="2:14" x14ac:dyDescent="0.2">
      <c r="B33" s="42"/>
      <c r="C33" s="39"/>
      <c r="D33" s="39"/>
      <c r="E33" s="40"/>
      <c r="G33" s="39"/>
      <c r="H33" s="39"/>
      <c r="I33" s="39"/>
      <c r="J33" s="39"/>
      <c r="K33" s="39"/>
      <c r="L33" s="39"/>
      <c r="M33" s="39"/>
      <c r="N33" s="39"/>
    </row>
    <row r="34" spans="2:14" x14ac:dyDescent="0.2">
      <c r="B34" s="42"/>
      <c r="C34" s="39"/>
      <c r="D34" s="39"/>
      <c r="E34" s="40"/>
      <c r="G34" s="39"/>
      <c r="H34" s="39"/>
      <c r="I34" s="39"/>
      <c r="J34" s="39"/>
      <c r="K34" s="39"/>
      <c r="L34" s="39"/>
      <c r="M34" s="39"/>
      <c r="N34" s="39"/>
    </row>
    <row r="35" spans="2:14" x14ac:dyDescent="0.2">
      <c r="B35" s="42"/>
      <c r="C35" s="39"/>
      <c r="D35" s="39"/>
      <c r="E35" s="40"/>
      <c r="G35" s="39"/>
      <c r="H35" s="39"/>
      <c r="I35" s="39"/>
      <c r="J35" s="39"/>
      <c r="K35" s="39"/>
      <c r="L35" s="39"/>
      <c r="M35" s="39"/>
      <c r="N35" s="39"/>
    </row>
    <row r="36" spans="2:14" x14ac:dyDescent="0.2">
      <c r="B36" s="42"/>
      <c r="C36" s="39"/>
      <c r="D36" s="39"/>
      <c r="E36" s="40"/>
      <c r="G36" s="39"/>
      <c r="H36" s="39"/>
      <c r="I36" s="39"/>
      <c r="J36" s="39"/>
      <c r="K36" s="39"/>
      <c r="L36" s="39"/>
      <c r="M36" s="39"/>
      <c r="N36" s="39"/>
    </row>
    <row r="37" spans="2:14" x14ac:dyDescent="0.2">
      <c r="B37" s="42"/>
      <c r="C37" s="39"/>
      <c r="D37" s="39"/>
      <c r="E37" s="40"/>
      <c r="G37" s="39"/>
      <c r="H37" s="39"/>
      <c r="I37" s="39"/>
      <c r="J37" s="39"/>
      <c r="K37" s="39"/>
      <c r="L37" s="39"/>
      <c r="M37" s="39"/>
      <c r="N37" s="39"/>
    </row>
    <row r="38" spans="2:14" x14ac:dyDescent="0.2">
      <c r="B38" s="42"/>
      <c r="C38" s="39"/>
      <c r="D38" s="39"/>
      <c r="E38" s="40"/>
    </row>
    <row r="39" spans="2:14" x14ac:dyDescent="0.2">
      <c r="B39" s="42"/>
      <c r="C39" s="39"/>
      <c r="D39" s="39"/>
      <c r="E39" s="40"/>
    </row>
    <row r="40" spans="2:14" x14ac:dyDescent="0.2">
      <c r="B40" s="42"/>
      <c r="C40" s="39"/>
      <c r="D40" s="39"/>
      <c r="E40" s="40"/>
    </row>
    <row r="41" spans="2:14" x14ac:dyDescent="0.2">
      <c r="B41" s="42"/>
      <c r="C41" s="39"/>
      <c r="D41" s="39"/>
      <c r="E41" s="40"/>
    </row>
    <row r="42" spans="2:14" x14ac:dyDescent="0.2">
      <c r="B42" s="42"/>
      <c r="C42" s="39"/>
      <c r="D42" s="39"/>
      <c r="E42" s="40"/>
    </row>
    <row r="43" spans="2:14" x14ac:dyDescent="0.2">
      <c r="B43" s="43"/>
      <c r="C43" s="44"/>
      <c r="D43" s="44"/>
      <c r="E43" s="45"/>
    </row>
    <row r="45" spans="2:14" ht="16.5" x14ac:dyDescent="0.2">
      <c r="B45" s="29" t="s">
        <v>105</v>
      </c>
      <c r="C45" s="36"/>
      <c r="D45" s="36"/>
      <c r="E45" s="37"/>
    </row>
    <row r="46" spans="2:14" ht="16.5" x14ac:dyDescent="0.2">
      <c r="B46" s="42"/>
      <c r="C46" s="226" t="s">
        <v>122</v>
      </c>
      <c r="D46" s="39"/>
      <c r="E46" s="40"/>
    </row>
    <row r="47" spans="2:14" ht="13.5" x14ac:dyDescent="0.2">
      <c r="B47" s="42"/>
      <c r="C47" s="38" t="s">
        <v>58</v>
      </c>
      <c r="D47" s="39"/>
      <c r="E47" s="40"/>
    </row>
    <row r="48" spans="2:14" x14ac:dyDescent="0.2">
      <c r="B48" s="42"/>
      <c r="C48" s="39"/>
      <c r="D48" s="39"/>
      <c r="E48" s="40"/>
    </row>
    <row r="49" spans="2:5" x14ac:dyDescent="0.2">
      <c r="B49" s="42"/>
      <c r="C49" s="39"/>
      <c r="D49" s="39"/>
      <c r="E49" s="40"/>
    </row>
    <row r="50" spans="2:5" x14ac:dyDescent="0.2">
      <c r="B50" s="42"/>
      <c r="C50" s="39"/>
      <c r="D50" s="39"/>
      <c r="E50" s="40"/>
    </row>
    <row r="51" spans="2:5" x14ac:dyDescent="0.2">
      <c r="B51" s="42"/>
      <c r="C51" s="39"/>
      <c r="D51" s="39"/>
      <c r="E51" s="40"/>
    </row>
    <row r="52" spans="2:5" x14ac:dyDescent="0.2">
      <c r="B52" s="42"/>
      <c r="C52" s="39"/>
      <c r="D52" s="39"/>
      <c r="E52" s="40"/>
    </row>
    <row r="53" spans="2:5" x14ac:dyDescent="0.2">
      <c r="B53" s="42"/>
      <c r="C53" s="39"/>
      <c r="D53" s="39"/>
      <c r="E53" s="40"/>
    </row>
    <row r="54" spans="2:5" x14ac:dyDescent="0.2">
      <c r="B54" s="42"/>
      <c r="C54" s="39"/>
      <c r="D54" s="39"/>
      <c r="E54" s="40"/>
    </row>
    <row r="55" spans="2:5" x14ac:dyDescent="0.2">
      <c r="B55" s="42"/>
      <c r="C55" s="39"/>
      <c r="D55" s="39"/>
      <c r="E55" s="40"/>
    </row>
    <row r="56" spans="2:5" x14ac:dyDescent="0.2">
      <c r="B56" s="42"/>
      <c r="C56" s="39"/>
      <c r="D56" s="39"/>
      <c r="E56" s="40"/>
    </row>
    <row r="57" spans="2:5" x14ac:dyDescent="0.2">
      <c r="B57" s="42"/>
      <c r="C57" s="39"/>
      <c r="D57" s="39"/>
      <c r="E57" s="40"/>
    </row>
    <row r="58" spans="2:5" x14ac:dyDescent="0.2">
      <c r="B58" s="42"/>
      <c r="C58" s="39"/>
      <c r="D58" s="39"/>
      <c r="E58" s="40"/>
    </row>
    <row r="59" spans="2:5" x14ac:dyDescent="0.2">
      <c r="B59" s="42"/>
      <c r="C59" s="39"/>
      <c r="D59" s="39"/>
      <c r="E59" s="40"/>
    </row>
    <row r="60" spans="2:5" x14ac:dyDescent="0.2">
      <c r="B60" s="42"/>
      <c r="C60" s="39"/>
      <c r="D60" s="39"/>
      <c r="E60" s="40"/>
    </row>
    <row r="61" spans="2:5" x14ac:dyDescent="0.2">
      <c r="B61" s="42"/>
      <c r="C61" s="39"/>
      <c r="D61" s="39"/>
      <c r="E61" s="40"/>
    </row>
    <row r="62" spans="2:5" x14ac:dyDescent="0.2">
      <c r="B62" s="42"/>
      <c r="C62" s="39"/>
      <c r="D62" s="39"/>
      <c r="E62" s="40"/>
    </row>
    <row r="63" spans="2:5" x14ac:dyDescent="0.2">
      <c r="B63" s="42"/>
      <c r="C63" s="39"/>
      <c r="D63" s="39"/>
      <c r="E63" s="40"/>
    </row>
    <row r="64" spans="2:5" ht="13.5" x14ac:dyDescent="0.2">
      <c r="B64" s="42"/>
      <c r="C64" s="46" t="s">
        <v>123</v>
      </c>
      <c r="D64" s="39"/>
      <c r="E64" s="40"/>
    </row>
    <row r="65" spans="2:5" ht="13.5" x14ac:dyDescent="0.2">
      <c r="B65" s="42"/>
      <c r="C65" s="38" t="s">
        <v>58</v>
      </c>
      <c r="D65" s="39"/>
      <c r="E65" s="40"/>
    </row>
    <row r="66" spans="2:5" x14ac:dyDescent="0.2">
      <c r="B66" s="42"/>
      <c r="C66" s="39"/>
      <c r="D66" s="39"/>
      <c r="E66" s="40"/>
    </row>
    <row r="67" spans="2:5" x14ac:dyDescent="0.2">
      <c r="B67" s="42"/>
      <c r="C67" s="39"/>
      <c r="D67" s="39"/>
      <c r="E67" s="40"/>
    </row>
    <row r="68" spans="2:5" x14ac:dyDescent="0.2">
      <c r="B68" s="42"/>
      <c r="C68" s="39"/>
      <c r="D68" s="39"/>
      <c r="E68" s="40"/>
    </row>
    <row r="69" spans="2:5" x14ac:dyDescent="0.2">
      <c r="B69" s="42"/>
      <c r="C69" s="39"/>
      <c r="D69" s="39"/>
      <c r="E69" s="40"/>
    </row>
    <row r="70" spans="2:5" x14ac:dyDescent="0.2">
      <c r="B70" s="42"/>
      <c r="C70" s="39"/>
      <c r="D70" s="39"/>
      <c r="E70" s="40"/>
    </row>
    <row r="71" spans="2:5" x14ac:dyDescent="0.2">
      <c r="B71" s="42"/>
      <c r="C71" s="39"/>
      <c r="D71" s="39"/>
      <c r="E71" s="40"/>
    </row>
    <row r="72" spans="2:5" x14ac:dyDescent="0.2">
      <c r="B72" s="42"/>
      <c r="C72" s="39"/>
      <c r="D72" s="39"/>
      <c r="E72" s="40"/>
    </row>
    <row r="73" spans="2:5" x14ac:dyDescent="0.2">
      <c r="B73" s="42"/>
      <c r="C73" s="39"/>
      <c r="D73" s="39"/>
      <c r="E73" s="40"/>
    </row>
    <row r="74" spans="2:5" x14ac:dyDescent="0.2">
      <c r="B74" s="42"/>
      <c r="C74" s="39"/>
      <c r="D74" s="39"/>
      <c r="E74" s="40"/>
    </row>
    <row r="75" spans="2:5" x14ac:dyDescent="0.2">
      <c r="B75" s="42"/>
      <c r="C75" s="39"/>
      <c r="D75" s="39"/>
      <c r="E75" s="40"/>
    </row>
    <row r="76" spans="2:5" x14ac:dyDescent="0.2">
      <c r="B76" s="42"/>
      <c r="C76" s="39"/>
      <c r="D76" s="39"/>
      <c r="E76" s="40"/>
    </row>
    <row r="77" spans="2:5" x14ac:dyDescent="0.2">
      <c r="B77" s="42"/>
      <c r="C77" s="39"/>
      <c r="D77" s="39"/>
      <c r="E77" s="40"/>
    </row>
    <row r="78" spans="2:5" x14ac:dyDescent="0.2">
      <c r="B78" s="42"/>
      <c r="C78" s="39"/>
      <c r="D78" s="39"/>
      <c r="E78" s="40"/>
    </row>
    <row r="79" spans="2:5" x14ac:dyDescent="0.2">
      <c r="B79" s="42"/>
      <c r="C79" s="39"/>
      <c r="D79" s="39"/>
      <c r="E79" s="40"/>
    </row>
    <row r="80" spans="2:5" x14ac:dyDescent="0.2">
      <c r="B80" s="42"/>
      <c r="C80" s="39"/>
      <c r="D80" s="39"/>
      <c r="E80" s="40"/>
    </row>
    <row r="81" spans="2:5" x14ac:dyDescent="0.2">
      <c r="B81" s="42"/>
      <c r="C81" s="39"/>
      <c r="D81" s="39"/>
      <c r="E81" s="40"/>
    </row>
    <row r="82" spans="2:5" x14ac:dyDescent="0.2">
      <c r="B82" s="42"/>
      <c r="C82" s="39"/>
      <c r="D82" s="39"/>
      <c r="E82" s="40"/>
    </row>
    <row r="83" spans="2:5" x14ac:dyDescent="0.2">
      <c r="B83" s="42"/>
      <c r="C83" s="39"/>
      <c r="D83" s="39"/>
      <c r="E83" s="40"/>
    </row>
    <row r="84" spans="2:5" x14ac:dyDescent="0.2">
      <c r="B84" s="42"/>
      <c r="C84" s="39"/>
      <c r="D84" s="39"/>
      <c r="E84" s="40"/>
    </row>
    <row r="85" spans="2:5" x14ac:dyDescent="0.2">
      <c r="B85" s="42"/>
      <c r="C85" s="39"/>
      <c r="D85" s="39"/>
      <c r="E85" s="40"/>
    </row>
    <row r="86" spans="2:5" x14ac:dyDescent="0.2">
      <c r="B86" s="42"/>
      <c r="C86" s="39"/>
      <c r="D86" s="39"/>
      <c r="E86" s="40"/>
    </row>
    <row r="87" spans="2:5" x14ac:dyDescent="0.2">
      <c r="B87" s="42"/>
      <c r="C87" s="39"/>
      <c r="D87" s="39"/>
      <c r="E87" s="40"/>
    </row>
    <row r="88" spans="2:5" x14ac:dyDescent="0.2">
      <c r="B88" s="42"/>
      <c r="C88" s="39"/>
      <c r="D88" s="39"/>
      <c r="E88" s="40"/>
    </row>
    <row r="89" spans="2:5" x14ac:dyDescent="0.2">
      <c r="B89" s="42"/>
      <c r="C89" s="39"/>
      <c r="D89" s="39"/>
      <c r="E89" s="40"/>
    </row>
    <row r="90" spans="2:5" x14ac:dyDescent="0.2">
      <c r="B90" s="42"/>
      <c r="C90" s="39"/>
      <c r="D90" s="39"/>
      <c r="E90" s="40"/>
    </row>
    <row r="91" spans="2:5" x14ac:dyDescent="0.2">
      <c r="B91" s="42"/>
      <c r="C91" s="39"/>
      <c r="D91" s="39"/>
      <c r="E91" s="40"/>
    </row>
    <row r="92" spans="2:5" ht="13.5" x14ac:dyDescent="0.2">
      <c r="B92" s="42"/>
      <c r="C92" s="38" t="s">
        <v>120</v>
      </c>
      <c r="D92" s="39"/>
      <c r="E92" s="40"/>
    </row>
    <row r="93" spans="2:5" ht="13.5" x14ac:dyDescent="0.2">
      <c r="B93" s="42"/>
      <c r="C93" s="38" t="s">
        <v>59</v>
      </c>
      <c r="D93" s="39"/>
      <c r="E93" s="40"/>
    </row>
    <row r="94" spans="2:5" x14ac:dyDescent="0.2">
      <c r="B94" s="42"/>
      <c r="C94" s="39"/>
      <c r="D94" s="39"/>
      <c r="E94" s="40"/>
    </row>
    <row r="95" spans="2:5" x14ac:dyDescent="0.2">
      <c r="B95" s="42"/>
      <c r="C95" s="39"/>
      <c r="D95" s="39"/>
      <c r="E95" s="40"/>
    </row>
    <row r="96" spans="2:5" x14ac:dyDescent="0.2">
      <c r="B96" s="42"/>
      <c r="C96" s="39"/>
      <c r="D96" s="39"/>
      <c r="E96" s="40"/>
    </row>
    <row r="97" spans="2:5" x14ac:dyDescent="0.2">
      <c r="B97" s="42"/>
      <c r="C97" s="39"/>
      <c r="D97" s="39"/>
      <c r="E97" s="40"/>
    </row>
    <row r="98" spans="2:5" x14ac:dyDescent="0.2">
      <c r="B98" s="42"/>
      <c r="C98" s="39"/>
      <c r="D98" s="39"/>
      <c r="E98" s="40"/>
    </row>
    <row r="99" spans="2:5" x14ac:dyDescent="0.2">
      <c r="B99" s="42"/>
      <c r="C99" s="39"/>
      <c r="D99" s="39"/>
      <c r="E99" s="40"/>
    </row>
    <row r="100" spans="2:5" x14ac:dyDescent="0.2">
      <c r="B100" s="42"/>
      <c r="C100" s="39"/>
      <c r="D100" s="39"/>
      <c r="E100" s="40"/>
    </row>
    <row r="101" spans="2:5" x14ac:dyDescent="0.2">
      <c r="B101" s="42"/>
      <c r="C101" s="39"/>
      <c r="D101" s="39"/>
      <c r="E101" s="40"/>
    </row>
    <row r="102" spans="2:5" x14ac:dyDescent="0.2">
      <c r="B102" s="42"/>
      <c r="C102" s="39"/>
      <c r="D102" s="39"/>
      <c r="E102" s="40"/>
    </row>
    <row r="103" spans="2:5" x14ac:dyDescent="0.2">
      <c r="B103" s="42"/>
      <c r="C103" s="39"/>
      <c r="D103" s="39"/>
      <c r="E103" s="40"/>
    </row>
    <row r="104" spans="2:5" x14ac:dyDescent="0.2">
      <c r="B104" s="42"/>
      <c r="C104" s="39"/>
      <c r="D104" s="39"/>
      <c r="E104" s="40"/>
    </row>
    <row r="105" spans="2:5" x14ac:dyDescent="0.2">
      <c r="B105" s="42"/>
      <c r="C105" s="39"/>
      <c r="D105" s="39"/>
      <c r="E105" s="40"/>
    </row>
    <row r="106" spans="2:5" x14ac:dyDescent="0.2">
      <c r="B106" s="42"/>
      <c r="C106" s="39"/>
      <c r="D106" s="39"/>
      <c r="E106" s="40"/>
    </row>
    <row r="107" spans="2:5" x14ac:dyDescent="0.2">
      <c r="B107" s="42"/>
      <c r="C107" s="39"/>
      <c r="D107" s="39"/>
      <c r="E107" s="40"/>
    </row>
    <row r="108" spans="2:5" x14ac:dyDescent="0.2">
      <c r="B108" s="42"/>
      <c r="C108" s="39"/>
      <c r="D108" s="39"/>
      <c r="E108" s="40"/>
    </row>
    <row r="109" spans="2:5" x14ac:dyDescent="0.2">
      <c r="B109" s="42"/>
      <c r="C109" s="39"/>
      <c r="D109" s="39"/>
      <c r="E109" s="40"/>
    </row>
    <row r="110" spans="2:5" x14ac:dyDescent="0.2">
      <c r="B110" s="43"/>
      <c r="C110" s="44"/>
      <c r="D110" s="44"/>
      <c r="E110" s="45"/>
    </row>
  </sheetData>
  <phoneticPr fontId="15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B2:R138"/>
  <sheetViews>
    <sheetView showGridLines="0" zoomScale="85" zoomScaleNormal="85" workbookViewId="0">
      <selection activeCell="G12" sqref="G12"/>
    </sheetView>
  </sheetViews>
  <sheetFormatPr defaultRowHeight="12.75" x14ac:dyDescent="0.2"/>
  <cols>
    <col min="1" max="1" width="3.5703125" style="65" customWidth="1"/>
    <col min="2" max="2" width="15.5703125" style="65" bestFit="1" customWidth="1"/>
    <col min="3" max="3" width="42" style="65" customWidth="1"/>
    <col min="4" max="4" width="13.7109375" style="65" bestFit="1" customWidth="1"/>
    <col min="5" max="5" width="22" style="65" customWidth="1"/>
    <col min="6" max="6" width="17" style="65" bestFit="1" customWidth="1"/>
    <col min="7" max="7" width="19.42578125" style="65" customWidth="1"/>
    <col min="8" max="8" width="17.42578125" style="65" customWidth="1"/>
    <col min="9" max="9" width="18.140625" style="65" customWidth="1"/>
    <col min="10" max="10" width="14.28515625" style="65" bestFit="1" customWidth="1"/>
    <col min="11" max="12" width="13.5703125" style="65" customWidth="1"/>
    <col min="13" max="13" width="9.28515625" style="65" customWidth="1"/>
    <col min="14" max="14" width="7.5703125" style="65" bestFit="1" customWidth="1"/>
    <col min="15" max="15" width="15.42578125" style="65" bestFit="1" customWidth="1"/>
    <col min="16" max="16" width="23.85546875" style="65" bestFit="1" customWidth="1"/>
    <col min="17" max="17" width="17.42578125" style="65" bestFit="1" customWidth="1"/>
    <col min="18" max="18" width="9.85546875" style="65" bestFit="1" customWidth="1"/>
    <col min="19" max="16384" width="9.140625" style="65"/>
  </cols>
  <sheetData>
    <row r="2" spans="2:18" ht="16.5" x14ac:dyDescent="0.2">
      <c r="B2" s="360"/>
      <c r="C2" s="360"/>
      <c r="D2" s="388"/>
      <c r="E2" s="361"/>
      <c r="F2" s="64">
        <f>E4*10^6</f>
        <v>0</v>
      </c>
      <c r="G2" s="360"/>
      <c r="H2" s="362"/>
      <c r="I2" s="360"/>
      <c r="J2" s="360"/>
      <c r="K2" s="363"/>
      <c r="L2" s="362"/>
      <c r="M2" s="362"/>
      <c r="O2" s="389" t="s">
        <v>434</v>
      </c>
      <c r="P2" s="447" t="s">
        <v>435</v>
      </c>
      <c r="Q2" s="447"/>
      <c r="R2" s="364" t="s">
        <v>436</v>
      </c>
    </row>
    <row r="3" spans="2:18" ht="18" thickBot="1" x14ac:dyDescent="0.25">
      <c r="B3" s="8" t="s">
        <v>437</v>
      </c>
      <c r="C3" s="8" t="s">
        <v>438</v>
      </c>
      <c r="D3" s="390" t="s">
        <v>364</v>
      </c>
      <c r="E3" s="26" t="s">
        <v>403</v>
      </c>
      <c r="F3" s="11" t="s">
        <v>439</v>
      </c>
      <c r="G3" s="390" t="s">
        <v>440</v>
      </c>
      <c r="H3" s="390" t="s">
        <v>441</v>
      </c>
      <c r="I3" s="390" t="s">
        <v>442</v>
      </c>
      <c r="J3" s="10" t="s">
        <v>443</v>
      </c>
      <c r="K3" s="10" t="s">
        <v>444</v>
      </c>
      <c r="L3" s="10" t="s">
        <v>397</v>
      </c>
      <c r="M3" s="12" t="s">
        <v>445</v>
      </c>
      <c r="N3" s="391" t="s">
        <v>406</v>
      </c>
      <c r="O3" s="391" t="s">
        <v>446</v>
      </c>
      <c r="P3" s="391" t="s">
        <v>433</v>
      </c>
      <c r="Q3" s="391" t="s">
        <v>447</v>
      </c>
    </row>
    <row r="4" spans="2:18" ht="14.25" thickTop="1" x14ac:dyDescent="0.2">
      <c r="B4" s="448" t="s">
        <v>448</v>
      </c>
      <c r="C4" s="448" t="s">
        <v>449</v>
      </c>
      <c r="D4" s="449">
        <v>32960</v>
      </c>
      <c r="E4" s="450">
        <f>IF(G4&gt;=D4,0,D4-G4)</f>
        <v>0</v>
      </c>
      <c r="F4" s="451">
        <f t="shared" ref="F4" si="0">((((H4*K4-J4-L4)*I4)*1000000))/1000000</f>
        <v>56804.775847272722</v>
      </c>
      <c r="G4" s="449">
        <f>((H4*K4-L4-J4)*I4)/(1+N4/100)^M4</f>
        <v>50592.389984002817</v>
      </c>
      <c r="H4" s="452">
        <v>203768</v>
      </c>
      <c r="I4" s="453">
        <f>35000/77000</f>
        <v>0.45454545454545453</v>
      </c>
      <c r="J4" s="452">
        <v>0</v>
      </c>
      <c r="K4" s="454">
        <v>0.61699999999999999</v>
      </c>
      <c r="L4" s="455">
        <f>H4*K4*0.006</f>
        <v>754.34913600000004</v>
      </c>
      <c r="M4" s="456">
        <f>+I12</f>
        <v>2.5643835616438357</v>
      </c>
      <c r="N4" s="457">
        <v>4.62</v>
      </c>
      <c r="O4" s="458" t="s">
        <v>101</v>
      </c>
      <c r="P4" s="261">
        <f>IF(D4*7%&lt;E4,0,IF(E4/D4&lt;7%,D4*1.4%,D4*8.4%-E4))</f>
        <v>461.43999999999994</v>
      </c>
      <c r="Q4" s="262">
        <f>E4+P4</f>
        <v>461.43999999999994</v>
      </c>
    </row>
    <row r="5" spans="2:18" x14ac:dyDescent="0.2">
      <c r="D5" s="143"/>
      <c r="E5" s="368">
        <f>E4/D4</f>
        <v>0</v>
      </c>
      <c r="F5" s="88"/>
    </row>
    <row r="6" spans="2:18" x14ac:dyDescent="0.2">
      <c r="E6" s="369">
        <f>E4/31000</f>
        <v>0</v>
      </c>
    </row>
    <row r="8" spans="2:18" ht="16.5" x14ac:dyDescent="0.2">
      <c r="B8" s="370" t="s">
        <v>62</v>
      </c>
      <c r="C8" s="371"/>
      <c r="D8" s="117"/>
      <c r="E8" s="118"/>
      <c r="G8" s="437" t="s">
        <v>581</v>
      </c>
      <c r="H8" s="117"/>
      <c r="I8" s="117"/>
      <c r="J8" s="117"/>
      <c r="K8" s="117"/>
      <c r="L8" s="117"/>
      <c r="M8" s="117"/>
      <c r="N8" s="118"/>
      <c r="R8" s="63"/>
    </row>
    <row r="9" spans="2:18" ht="16.5" x14ac:dyDescent="0.2">
      <c r="B9" s="374"/>
      <c r="C9" s="375"/>
      <c r="D9" s="120"/>
      <c r="E9" s="121"/>
      <c r="G9" s="122"/>
      <c r="H9" s="120"/>
      <c r="I9" s="120"/>
      <c r="J9" s="120"/>
      <c r="K9" s="120"/>
      <c r="L9" s="120"/>
      <c r="M9" s="120"/>
      <c r="N9" s="121"/>
    </row>
    <row r="10" spans="2:18" ht="16.5" x14ac:dyDescent="0.2">
      <c r="B10" s="374"/>
      <c r="C10" s="378"/>
      <c r="D10" s="120"/>
      <c r="E10" s="121"/>
      <c r="G10" s="385" t="s">
        <v>450</v>
      </c>
      <c r="H10" s="386">
        <v>45504</v>
      </c>
      <c r="I10" s="89"/>
      <c r="J10" s="120"/>
      <c r="K10" s="120"/>
      <c r="L10" s="120"/>
      <c r="M10" s="120"/>
      <c r="N10" s="121"/>
    </row>
    <row r="11" spans="2:18" ht="16.5" x14ac:dyDescent="0.2">
      <c r="B11" s="374"/>
      <c r="C11" s="378"/>
      <c r="D11" s="120"/>
      <c r="E11" s="121"/>
      <c r="G11" s="90" t="s">
        <v>582</v>
      </c>
      <c r="H11" s="151">
        <v>45900</v>
      </c>
      <c r="I11" s="89"/>
      <c r="J11" s="120"/>
      <c r="K11" s="120"/>
      <c r="L11" s="120"/>
      <c r="M11" s="120"/>
      <c r="N11" s="121"/>
    </row>
    <row r="12" spans="2:18" ht="16.5" x14ac:dyDescent="0.2">
      <c r="B12" s="374"/>
      <c r="C12" s="378"/>
      <c r="D12" s="120"/>
      <c r="E12" s="121"/>
      <c r="G12" s="90" t="s">
        <v>451</v>
      </c>
      <c r="H12" s="151">
        <f>H11+30*18</f>
        <v>46440</v>
      </c>
      <c r="I12" s="89">
        <f>YEARFRAC(H10,H12,3)</f>
        <v>2.5643835616438357</v>
      </c>
      <c r="J12" s="120"/>
      <c r="K12" s="120"/>
      <c r="L12" s="120"/>
      <c r="M12" s="120"/>
      <c r="N12" s="121"/>
    </row>
    <row r="13" spans="2:18" x14ac:dyDescent="0.2">
      <c r="B13" s="122"/>
      <c r="C13" s="120"/>
      <c r="D13" s="120"/>
      <c r="E13" s="121"/>
      <c r="G13" s="122"/>
      <c r="H13" s="120"/>
      <c r="I13" s="120"/>
      <c r="J13" s="120"/>
      <c r="K13" s="120"/>
      <c r="L13" s="120"/>
      <c r="M13" s="120"/>
      <c r="N13" s="121"/>
    </row>
    <row r="14" spans="2:18" x14ac:dyDescent="0.2">
      <c r="B14" s="122"/>
      <c r="C14" s="120"/>
      <c r="D14" s="120"/>
      <c r="E14" s="121"/>
      <c r="G14" s="122"/>
      <c r="H14" s="120"/>
      <c r="I14" s="120"/>
      <c r="J14" s="120"/>
      <c r="K14" s="120"/>
      <c r="L14" s="120"/>
      <c r="M14" s="120"/>
      <c r="N14" s="121"/>
    </row>
    <row r="15" spans="2:18" ht="16.5" x14ac:dyDescent="0.2">
      <c r="B15" s="122"/>
      <c r="C15" s="120"/>
      <c r="D15" s="120"/>
      <c r="E15" s="121"/>
      <c r="G15" s="438" t="s">
        <v>452</v>
      </c>
      <c r="H15" s="120"/>
      <c r="I15" s="120"/>
      <c r="J15" s="120"/>
      <c r="K15" s="120"/>
      <c r="L15" s="120"/>
      <c r="M15" s="120"/>
      <c r="N15" s="121"/>
    </row>
    <row r="16" spans="2:18" ht="16.5" x14ac:dyDescent="0.2">
      <c r="B16" s="122"/>
      <c r="C16" s="120"/>
      <c r="D16" s="120"/>
      <c r="E16" s="121"/>
      <c r="G16" s="439" t="s">
        <v>72</v>
      </c>
      <c r="H16" s="120"/>
      <c r="I16" s="120"/>
      <c r="J16" s="120"/>
      <c r="K16" s="120"/>
      <c r="L16" s="120"/>
      <c r="M16" s="440"/>
      <c r="N16" s="441"/>
    </row>
    <row r="17" spans="2:14" ht="16.5" x14ac:dyDescent="0.2">
      <c r="B17" s="122"/>
      <c r="C17" s="120"/>
      <c r="D17" s="120"/>
      <c r="E17" s="121"/>
      <c r="G17" s="442" t="s">
        <v>453</v>
      </c>
      <c r="H17" s="442" t="s">
        <v>454</v>
      </c>
      <c r="I17" s="442" t="s">
        <v>419</v>
      </c>
      <c r="J17" s="442" t="s">
        <v>455</v>
      </c>
      <c r="K17" s="442" t="s">
        <v>456</v>
      </c>
      <c r="L17" s="442" t="s">
        <v>335</v>
      </c>
      <c r="M17" s="442" t="s">
        <v>422</v>
      </c>
    </row>
    <row r="18" spans="2:14" ht="16.5" x14ac:dyDescent="0.2">
      <c r="B18" s="122"/>
      <c r="C18" s="120"/>
      <c r="D18" s="120"/>
      <c r="E18" s="121"/>
      <c r="G18" s="442" t="s">
        <v>458</v>
      </c>
      <c r="H18" s="442">
        <v>802</v>
      </c>
      <c r="I18" s="443">
        <v>0.85</v>
      </c>
      <c r="J18" s="444">
        <v>45167</v>
      </c>
      <c r="K18" s="444">
        <v>45454</v>
      </c>
      <c r="L18" s="446">
        <v>10</v>
      </c>
      <c r="M18" s="442"/>
    </row>
    <row r="19" spans="2:14" ht="16.5" x14ac:dyDescent="0.2">
      <c r="B19" s="122"/>
      <c r="C19" s="120"/>
      <c r="D19" s="120"/>
      <c r="E19" s="121"/>
      <c r="G19" s="442" t="s">
        <v>458</v>
      </c>
      <c r="H19" s="442">
        <v>802</v>
      </c>
      <c r="I19" s="443">
        <v>0.81</v>
      </c>
      <c r="J19" s="444">
        <v>45167</v>
      </c>
      <c r="K19" s="444">
        <v>45454</v>
      </c>
      <c r="L19" s="446">
        <v>10</v>
      </c>
      <c r="M19" s="442"/>
    </row>
    <row r="20" spans="2:14" ht="16.5" x14ac:dyDescent="0.2">
      <c r="B20" s="122"/>
      <c r="C20" s="120"/>
      <c r="D20" s="120"/>
      <c r="E20" s="121"/>
      <c r="G20" s="442" t="s">
        <v>459</v>
      </c>
      <c r="H20" s="140">
        <v>4473</v>
      </c>
      <c r="I20" s="443">
        <v>0.54</v>
      </c>
      <c r="J20" s="444">
        <v>44795</v>
      </c>
      <c r="K20" s="444">
        <v>45344</v>
      </c>
      <c r="L20" s="446">
        <f>6+12</f>
        <v>18</v>
      </c>
      <c r="M20" s="442"/>
    </row>
    <row r="21" spans="2:14" ht="16.5" x14ac:dyDescent="0.2">
      <c r="B21" s="122"/>
      <c r="C21" s="120"/>
      <c r="D21" s="120"/>
      <c r="E21" s="121"/>
      <c r="G21" s="442" t="s">
        <v>458</v>
      </c>
      <c r="H21" s="442">
        <v>474</v>
      </c>
      <c r="I21" s="443">
        <v>0.91</v>
      </c>
      <c r="J21" s="444">
        <v>44910</v>
      </c>
      <c r="K21" s="444">
        <v>45309</v>
      </c>
      <c r="L21" s="446">
        <v>13</v>
      </c>
      <c r="M21" s="442"/>
    </row>
    <row r="22" spans="2:14" ht="16.5" x14ac:dyDescent="0.2">
      <c r="B22" s="122"/>
      <c r="C22" s="120"/>
      <c r="D22" s="120"/>
      <c r="E22" s="121"/>
      <c r="G22" s="442" t="s">
        <v>457</v>
      </c>
      <c r="H22" s="442">
        <v>1322</v>
      </c>
      <c r="I22" s="443">
        <v>0.88</v>
      </c>
      <c r="J22" s="444">
        <v>44937</v>
      </c>
      <c r="K22" s="444">
        <v>45281</v>
      </c>
      <c r="L22" s="446">
        <v>11</v>
      </c>
      <c r="M22" s="442"/>
      <c r="N22" s="121"/>
    </row>
    <row r="23" spans="2:14" ht="16.5" x14ac:dyDescent="0.2">
      <c r="B23" s="122"/>
      <c r="C23" s="120"/>
      <c r="D23" s="120"/>
      <c r="E23" s="121"/>
      <c r="G23" s="442" t="s">
        <v>457</v>
      </c>
      <c r="H23" s="442">
        <v>1322</v>
      </c>
      <c r="I23" s="443">
        <v>0.91</v>
      </c>
      <c r="J23" s="444">
        <v>44937</v>
      </c>
      <c r="K23" s="444">
        <v>45258</v>
      </c>
      <c r="L23" s="446">
        <v>10</v>
      </c>
      <c r="M23" s="442"/>
      <c r="N23" s="125"/>
    </row>
    <row r="24" spans="2:14" ht="16.5" x14ac:dyDescent="0.2">
      <c r="B24" s="122"/>
      <c r="C24" s="120"/>
      <c r="D24" s="120"/>
      <c r="E24" s="121"/>
      <c r="G24" s="442" t="s">
        <v>459</v>
      </c>
      <c r="H24" s="442">
        <v>1322</v>
      </c>
      <c r="I24" s="443">
        <v>0.93</v>
      </c>
      <c r="J24" s="444">
        <v>44937</v>
      </c>
      <c r="K24" s="444">
        <v>45245</v>
      </c>
      <c r="L24" s="446">
        <v>10</v>
      </c>
      <c r="M24" s="442"/>
    </row>
    <row r="25" spans="2:14" ht="16.5" x14ac:dyDescent="0.2">
      <c r="B25" s="122"/>
      <c r="C25" s="120"/>
      <c r="D25" s="120"/>
      <c r="E25" s="121"/>
      <c r="G25" s="442" t="s">
        <v>459</v>
      </c>
      <c r="H25" s="442">
        <v>1322</v>
      </c>
      <c r="I25" s="443">
        <v>0.91</v>
      </c>
      <c r="J25" s="444">
        <v>44937</v>
      </c>
      <c r="K25" s="444">
        <v>45224</v>
      </c>
      <c r="L25" s="446">
        <v>9</v>
      </c>
      <c r="M25" s="442"/>
    </row>
    <row r="26" spans="2:14" ht="16.5" x14ac:dyDescent="0.2">
      <c r="B26" s="122"/>
      <c r="C26" s="120"/>
      <c r="D26" s="120"/>
      <c r="E26" s="121"/>
      <c r="G26" s="442" t="s">
        <v>459</v>
      </c>
      <c r="H26" s="442">
        <v>1322</v>
      </c>
      <c r="I26" s="443">
        <v>0.9</v>
      </c>
      <c r="J26" s="444">
        <v>44937</v>
      </c>
      <c r="K26" s="444">
        <v>45196</v>
      </c>
      <c r="L26" s="446">
        <v>8</v>
      </c>
      <c r="M26" s="442"/>
    </row>
    <row r="27" spans="2:14" x14ac:dyDescent="0.2">
      <c r="B27" s="123"/>
      <c r="C27" s="124"/>
      <c r="D27" s="124"/>
      <c r="E27" s="125"/>
    </row>
    <row r="30" spans="2:14" ht="16.5" x14ac:dyDescent="0.2">
      <c r="B30" s="370" t="s">
        <v>393</v>
      </c>
      <c r="C30" s="117"/>
      <c r="D30" s="117"/>
      <c r="E30" s="118"/>
    </row>
    <row r="31" spans="2:14" ht="16.5" x14ac:dyDescent="0.2">
      <c r="B31" s="122"/>
      <c r="C31" s="400" t="s">
        <v>460</v>
      </c>
      <c r="D31" s="120"/>
      <c r="E31" s="121"/>
      <c r="G31" s="104"/>
    </row>
    <row r="32" spans="2:14" ht="13.5" x14ac:dyDescent="0.2">
      <c r="B32" s="122"/>
      <c r="C32" s="89" t="s">
        <v>58</v>
      </c>
      <c r="D32" s="120"/>
      <c r="E32" s="121"/>
    </row>
    <row r="33" spans="2:5" x14ac:dyDescent="0.2">
      <c r="B33" s="122"/>
      <c r="C33" s="120"/>
      <c r="D33" s="120"/>
      <c r="E33" s="121"/>
    </row>
    <row r="34" spans="2:5" x14ac:dyDescent="0.2">
      <c r="B34" s="122"/>
      <c r="C34" s="120"/>
      <c r="D34" s="120"/>
      <c r="E34" s="121"/>
    </row>
    <row r="35" spans="2:5" x14ac:dyDescent="0.2">
      <c r="B35" s="122"/>
      <c r="C35" s="120"/>
      <c r="D35" s="120"/>
      <c r="E35" s="121"/>
    </row>
    <row r="36" spans="2:5" x14ac:dyDescent="0.2">
      <c r="B36" s="122"/>
      <c r="C36" s="120"/>
      <c r="D36" s="120"/>
      <c r="E36" s="121"/>
    </row>
    <row r="37" spans="2:5" x14ac:dyDescent="0.2">
      <c r="B37" s="122"/>
      <c r="C37" s="120"/>
      <c r="D37" s="120"/>
      <c r="E37" s="121"/>
    </row>
    <row r="38" spans="2:5" x14ac:dyDescent="0.2">
      <c r="B38" s="122"/>
      <c r="C38" s="120"/>
      <c r="D38" s="120"/>
      <c r="E38" s="121"/>
    </row>
    <row r="39" spans="2:5" x14ac:dyDescent="0.2">
      <c r="B39" s="122"/>
      <c r="C39" s="120"/>
      <c r="D39" s="120"/>
      <c r="E39" s="121"/>
    </row>
    <row r="40" spans="2:5" x14ac:dyDescent="0.2">
      <c r="B40" s="122"/>
      <c r="C40" s="120"/>
      <c r="D40" s="120"/>
      <c r="E40" s="121"/>
    </row>
    <row r="41" spans="2:5" x14ac:dyDescent="0.2">
      <c r="B41" s="122"/>
      <c r="C41" s="120"/>
      <c r="D41" s="120"/>
      <c r="E41" s="121"/>
    </row>
    <row r="42" spans="2:5" x14ac:dyDescent="0.2">
      <c r="B42" s="122"/>
      <c r="C42" s="120"/>
      <c r="D42" s="120"/>
      <c r="E42" s="121"/>
    </row>
    <row r="43" spans="2:5" x14ac:dyDescent="0.2">
      <c r="B43" s="122"/>
      <c r="C43" s="120"/>
      <c r="D43" s="120"/>
      <c r="E43" s="121"/>
    </row>
    <row r="44" spans="2:5" x14ac:dyDescent="0.2">
      <c r="B44" s="122"/>
      <c r="C44" s="120"/>
      <c r="D44" s="120"/>
      <c r="E44" s="121"/>
    </row>
    <row r="45" spans="2:5" x14ac:dyDescent="0.2">
      <c r="B45" s="122"/>
      <c r="C45" s="120"/>
      <c r="D45" s="120"/>
      <c r="E45" s="121"/>
    </row>
    <row r="46" spans="2:5" x14ac:dyDescent="0.2">
      <c r="B46" s="122"/>
      <c r="D46" s="120"/>
      <c r="E46" s="121"/>
    </row>
    <row r="47" spans="2:5" x14ac:dyDescent="0.2">
      <c r="B47" s="122"/>
      <c r="D47" s="120"/>
      <c r="E47" s="121"/>
    </row>
    <row r="48" spans="2:5" x14ac:dyDescent="0.2">
      <c r="B48" s="122"/>
      <c r="D48" s="120"/>
      <c r="E48" s="121"/>
    </row>
    <row r="49" spans="2:5" x14ac:dyDescent="0.2">
      <c r="B49" s="122"/>
      <c r="D49" s="120"/>
      <c r="E49" s="121"/>
    </row>
    <row r="50" spans="2:5" x14ac:dyDescent="0.2">
      <c r="B50" s="122"/>
      <c r="D50" s="120"/>
      <c r="E50" s="121"/>
    </row>
    <row r="51" spans="2:5" x14ac:dyDescent="0.2">
      <c r="B51" s="122"/>
      <c r="D51" s="120"/>
      <c r="E51" s="121"/>
    </row>
    <row r="52" spans="2:5" x14ac:dyDescent="0.2">
      <c r="B52" s="122"/>
      <c r="D52" s="120"/>
      <c r="E52" s="121"/>
    </row>
    <row r="53" spans="2:5" x14ac:dyDescent="0.2">
      <c r="B53" s="122"/>
      <c r="D53" s="120"/>
      <c r="E53" s="121"/>
    </row>
    <row r="54" spans="2:5" x14ac:dyDescent="0.2">
      <c r="B54" s="122"/>
      <c r="D54" s="120"/>
      <c r="E54" s="121"/>
    </row>
    <row r="55" spans="2:5" x14ac:dyDescent="0.2">
      <c r="B55" s="122"/>
      <c r="D55" s="120"/>
      <c r="E55" s="121"/>
    </row>
    <row r="56" spans="2:5" x14ac:dyDescent="0.2">
      <c r="B56" s="122"/>
      <c r="D56" s="120"/>
      <c r="E56" s="121"/>
    </row>
    <row r="57" spans="2:5" x14ac:dyDescent="0.2">
      <c r="B57" s="122"/>
      <c r="D57" s="120"/>
      <c r="E57" s="121"/>
    </row>
    <row r="58" spans="2:5" x14ac:dyDescent="0.2">
      <c r="B58" s="122"/>
      <c r="D58" s="120"/>
      <c r="E58" s="121"/>
    </row>
    <row r="59" spans="2:5" x14ac:dyDescent="0.2">
      <c r="B59" s="122"/>
      <c r="D59" s="120"/>
      <c r="E59" s="121"/>
    </row>
    <row r="60" spans="2:5" x14ac:dyDescent="0.2">
      <c r="B60" s="122"/>
      <c r="D60" s="120"/>
      <c r="E60" s="121"/>
    </row>
    <row r="61" spans="2:5" x14ac:dyDescent="0.2">
      <c r="B61" s="122"/>
      <c r="D61" s="120"/>
      <c r="E61" s="121"/>
    </row>
    <row r="62" spans="2:5" x14ac:dyDescent="0.2">
      <c r="B62" s="122"/>
      <c r="D62" s="120"/>
      <c r="E62" s="121"/>
    </row>
    <row r="63" spans="2:5" x14ac:dyDescent="0.2">
      <c r="B63" s="122"/>
      <c r="D63" s="120"/>
      <c r="E63" s="121"/>
    </row>
    <row r="64" spans="2:5" x14ac:dyDescent="0.2">
      <c r="B64" s="122"/>
      <c r="D64" s="120"/>
      <c r="E64" s="121"/>
    </row>
    <row r="65" spans="2:5" x14ac:dyDescent="0.2">
      <c r="B65" s="122"/>
      <c r="D65" s="120"/>
      <c r="E65" s="121"/>
    </row>
    <row r="66" spans="2:5" x14ac:dyDescent="0.2">
      <c r="B66" s="122"/>
      <c r="D66" s="120"/>
      <c r="E66" s="121"/>
    </row>
    <row r="67" spans="2:5" x14ac:dyDescent="0.2">
      <c r="B67" s="122"/>
      <c r="D67" s="120"/>
      <c r="E67" s="121"/>
    </row>
    <row r="68" spans="2:5" x14ac:dyDescent="0.2">
      <c r="B68" s="122"/>
      <c r="D68" s="120"/>
      <c r="E68" s="121"/>
    </row>
    <row r="69" spans="2:5" x14ac:dyDescent="0.2">
      <c r="B69" s="122"/>
      <c r="D69" s="120"/>
      <c r="E69" s="121"/>
    </row>
    <row r="70" spans="2:5" x14ac:dyDescent="0.2">
      <c r="B70" s="122"/>
      <c r="D70" s="120"/>
      <c r="E70" s="121"/>
    </row>
    <row r="71" spans="2:5" x14ac:dyDescent="0.2">
      <c r="B71" s="122"/>
      <c r="D71" s="120"/>
      <c r="E71" s="121"/>
    </row>
    <row r="72" spans="2:5" x14ac:dyDescent="0.2">
      <c r="B72" s="122"/>
      <c r="D72" s="120"/>
      <c r="E72" s="121"/>
    </row>
    <row r="73" spans="2:5" x14ac:dyDescent="0.2">
      <c r="B73" s="122"/>
      <c r="D73" s="120"/>
      <c r="E73" s="121"/>
    </row>
    <row r="74" spans="2:5" ht="13.5" x14ac:dyDescent="0.2">
      <c r="B74" s="142" t="s">
        <v>461</v>
      </c>
      <c r="D74" s="120"/>
      <c r="E74" s="121"/>
    </row>
    <row r="75" spans="2:5" ht="13.5" x14ac:dyDescent="0.2">
      <c r="B75" s="89" t="s">
        <v>462</v>
      </c>
      <c r="D75" s="120"/>
      <c r="E75" s="121"/>
    </row>
    <row r="76" spans="2:5" x14ac:dyDescent="0.2">
      <c r="B76" s="122"/>
      <c r="D76" s="120"/>
      <c r="E76" s="121"/>
    </row>
    <row r="77" spans="2:5" x14ac:dyDescent="0.2">
      <c r="B77" s="122"/>
      <c r="D77" s="120"/>
      <c r="E77" s="121"/>
    </row>
    <row r="78" spans="2:5" x14ac:dyDescent="0.2">
      <c r="B78" s="122"/>
      <c r="D78" s="120"/>
      <c r="E78" s="121"/>
    </row>
    <row r="79" spans="2:5" x14ac:dyDescent="0.2">
      <c r="B79" s="122"/>
      <c r="D79" s="120"/>
      <c r="E79" s="121"/>
    </row>
    <row r="80" spans="2:5" x14ac:dyDescent="0.2">
      <c r="B80" s="122"/>
      <c r="D80" s="120"/>
      <c r="E80" s="121"/>
    </row>
    <row r="81" spans="2:5" x14ac:dyDescent="0.2">
      <c r="B81" s="122"/>
      <c r="D81" s="120"/>
      <c r="E81" s="121"/>
    </row>
    <row r="82" spans="2:5" x14ac:dyDescent="0.2">
      <c r="B82" s="122"/>
      <c r="D82" s="120"/>
      <c r="E82" s="121"/>
    </row>
    <row r="83" spans="2:5" x14ac:dyDescent="0.2">
      <c r="B83" s="122"/>
      <c r="C83" s="120"/>
      <c r="D83" s="120"/>
      <c r="E83" s="121"/>
    </row>
    <row r="84" spans="2:5" x14ac:dyDescent="0.2">
      <c r="B84" s="122"/>
      <c r="C84" s="120"/>
      <c r="D84" s="120"/>
      <c r="E84" s="121"/>
    </row>
    <row r="85" spans="2:5" x14ac:dyDescent="0.2">
      <c r="B85" s="122"/>
      <c r="C85" s="120"/>
      <c r="D85" s="120"/>
      <c r="E85" s="121"/>
    </row>
    <row r="86" spans="2:5" x14ac:dyDescent="0.2">
      <c r="B86" s="122"/>
      <c r="C86" s="120"/>
      <c r="D86" s="120"/>
      <c r="E86" s="121"/>
    </row>
    <row r="87" spans="2:5" x14ac:dyDescent="0.2">
      <c r="B87" s="122"/>
      <c r="C87" s="120"/>
      <c r="D87" s="120"/>
      <c r="E87" s="121"/>
    </row>
    <row r="88" spans="2:5" x14ac:dyDescent="0.2">
      <c r="B88" s="122"/>
      <c r="C88" s="120"/>
      <c r="D88" s="120"/>
      <c r="E88" s="121"/>
    </row>
    <row r="89" spans="2:5" x14ac:dyDescent="0.2">
      <c r="B89" s="122"/>
      <c r="C89" s="120"/>
      <c r="D89" s="120"/>
      <c r="E89" s="121"/>
    </row>
    <row r="90" spans="2:5" x14ac:dyDescent="0.2">
      <c r="B90" s="122"/>
      <c r="C90" s="120"/>
      <c r="D90" s="120"/>
      <c r="E90" s="121"/>
    </row>
    <row r="91" spans="2:5" x14ac:dyDescent="0.2">
      <c r="B91" s="122"/>
      <c r="D91" s="120"/>
      <c r="E91" s="121"/>
    </row>
    <row r="92" spans="2:5" x14ac:dyDescent="0.2">
      <c r="B92" s="122"/>
      <c r="D92" s="120"/>
      <c r="E92" s="121"/>
    </row>
    <row r="93" spans="2:5" x14ac:dyDescent="0.2">
      <c r="B93" s="122"/>
      <c r="D93" s="120"/>
      <c r="E93" s="121"/>
    </row>
    <row r="94" spans="2:5" x14ac:dyDescent="0.2">
      <c r="B94" s="122"/>
      <c r="D94" s="120"/>
      <c r="E94" s="121"/>
    </row>
    <row r="95" spans="2:5" x14ac:dyDescent="0.2">
      <c r="B95" s="123"/>
      <c r="D95" s="124"/>
      <c r="E95" s="125"/>
    </row>
    <row r="112" spans="7:7" x14ac:dyDescent="0.2">
      <c r="G112" s="120"/>
    </row>
    <row r="113" spans="3:7" x14ac:dyDescent="0.2">
      <c r="G113" s="120"/>
    </row>
    <row r="114" spans="3:7" x14ac:dyDescent="0.2">
      <c r="G114" s="120"/>
    </row>
    <row r="115" spans="3:7" x14ac:dyDescent="0.2">
      <c r="G115" s="120"/>
    </row>
    <row r="116" spans="3:7" x14ac:dyDescent="0.2">
      <c r="G116" s="120"/>
    </row>
    <row r="117" spans="3:7" x14ac:dyDescent="0.2">
      <c r="G117" s="120"/>
    </row>
    <row r="118" spans="3:7" x14ac:dyDescent="0.2">
      <c r="G118" s="120"/>
    </row>
    <row r="119" spans="3:7" x14ac:dyDescent="0.2">
      <c r="G119" s="120"/>
    </row>
    <row r="120" spans="3:7" x14ac:dyDescent="0.2">
      <c r="C120" s="120"/>
      <c r="G120" s="120"/>
    </row>
    <row r="121" spans="3:7" x14ac:dyDescent="0.2">
      <c r="C121" s="120"/>
      <c r="G121" s="120"/>
    </row>
    <row r="122" spans="3:7" x14ac:dyDescent="0.2">
      <c r="C122" s="120"/>
      <c r="G122" s="120"/>
    </row>
    <row r="123" spans="3:7" x14ac:dyDescent="0.2">
      <c r="G123" s="120"/>
    </row>
    <row r="124" spans="3:7" x14ac:dyDescent="0.2">
      <c r="G124" s="120"/>
    </row>
    <row r="125" spans="3:7" x14ac:dyDescent="0.2">
      <c r="G125" s="120"/>
    </row>
    <row r="126" spans="3:7" x14ac:dyDescent="0.2">
      <c r="G126" s="120"/>
    </row>
    <row r="127" spans="3:7" x14ac:dyDescent="0.2">
      <c r="G127" s="120"/>
    </row>
    <row r="128" spans="3:7" x14ac:dyDescent="0.2">
      <c r="G128" s="120"/>
    </row>
    <row r="129" spans="7:7" x14ac:dyDescent="0.2">
      <c r="G129" s="120"/>
    </row>
    <row r="130" spans="7:7" x14ac:dyDescent="0.2">
      <c r="G130" s="120"/>
    </row>
    <row r="131" spans="7:7" x14ac:dyDescent="0.2">
      <c r="G131" s="120"/>
    </row>
    <row r="132" spans="7:7" x14ac:dyDescent="0.2">
      <c r="G132" s="120"/>
    </row>
    <row r="133" spans="7:7" x14ac:dyDescent="0.2">
      <c r="G133" s="120"/>
    </row>
    <row r="134" spans="7:7" x14ac:dyDescent="0.2">
      <c r="G134" s="120"/>
    </row>
    <row r="135" spans="7:7" x14ac:dyDescent="0.2">
      <c r="G135" s="120"/>
    </row>
    <row r="138" spans="7:7" x14ac:dyDescent="0.2">
      <c r="G138" s="120"/>
    </row>
  </sheetData>
  <phoneticPr fontId="15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Z101"/>
  <sheetViews>
    <sheetView showGridLines="0" zoomScale="85" zoomScaleNormal="85" workbookViewId="0">
      <selection activeCell="P4" sqref="P4"/>
    </sheetView>
  </sheetViews>
  <sheetFormatPr defaultRowHeight="12.75" x14ac:dyDescent="0.2"/>
  <cols>
    <col min="1" max="1" width="2.7109375" style="65" customWidth="1"/>
    <col min="2" max="2" width="15.7109375" style="65" customWidth="1"/>
    <col min="3" max="3" width="28.5703125" style="65" customWidth="1"/>
    <col min="4" max="4" width="17" style="65" customWidth="1"/>
    <col min="5" max="5" width="19.28515625" style="65" customWidth="1"/>
    <col min="6" max="6" width="19.5703125" style="65" bestFit="1" customWidth="1"/>
    <col min="7" max="7" width="17" style="65" bestFit="1" customWidth="1"/>
    <col min="8" max="8" width="22" style="65" bestFit="1" customWidth="1"/>
    <col min="9" max="9" width="12.7109375" style="65" customWidth="1"/>
    <col min="10" max="10" width="14.42578125" style="65" customWidth="1"/>
    <col min="11" max="11" width="14.28515625" style="65" bestFit="1" customWidth="1"/>
    <col min="12" max="13" width="11.5703125" style="65" bestFit="1" customWidth="1"/>
    <col min="14" max="14" width="8.140625" style="65" bestFit="1" customWidth="1"/>
    <col min="15" max="15" width="11.140625" style="65" customWidth="1"/>
    <col min="16" max="16" width="21.7109375" style="65" customWidth="1"/>
    <col min="17" max="17" width="17.42578125" style="65" customWidth="1"/>
    <col min="18" max="23" width="9.140625" style="65"/>
    <col min="24" max="24" width="14" style="65" customWidth="1"/>
    <col min="25" max="16384" width="9.140625" style="65"/>
  </cols>
  <sheetData>
    <row r="1" spans="1:21" x14ac:dyDescent="0.2">
      <c r="B1" s="66"/>
      <c r="F1" s="144"/>
    </row>
    <row r="2" spans="1:21" ht="16.5" x14ac:dyDescent="0.2">
      <c r="B2" s="155"/>
      <c r="C2" s="156" t="s">
        <v>292</v>
      </c>
      <c r="D2" s="157">
        <v>33090</v>
      </c>
      <c r="E2" s="158"/>
      <c r="F2" s="64"/>
      <c r="G2" s="156"/>
      <c r="H2" s="159"/>
      <c r="I2" s="156"/>
      <c r="J2" s="156"/>
      <c r="K2" s="160"/>
      <c r="L2" s="159"/>
      <c r="M2" s="159"/>
      <c r="N2" s="159"/>
      <c r="O2" s="161" t="s">
        <v>463</v>
      </c>
      <c r="P2" s="590" t="s">
        <v>98</v>
      </c>
      <c r="Q2" s="590"/>
      <c r="R2" s="162" t="s">
        <v>464</v>
      </c>
    </row>
    <row r="3" spans="1:21" ht="18" thickBot="1" x14ac:dyDescent="0.25">
      <c r="B3" s="8" t="s">
        <v>402</v>
      </c>
      <c r="C3" s="8" t="s">
        <v>297</v>
      </c>
      <c r="D3" s="163" t="s">
        <v>465</v>
      </c>
      <c r="E3" s="26" t="s">
        <v>466</v>
      </c>
      <c r="F3" s="11" t="s">
        <v>467</v>
      </c>
      <c r="G3" s="163" t="s">
        <v>405</v>
      </c>
      <c r="H3" s="163" t="s">
        <v>365</v>
      </c>
      <c r="I3" s="163" t="s">
        <v>468</v>
      </c>
      <c r="J3" s="10" t="s">
        <v>367</v>
      </c>
      <c r="K3" s="10" t="s">
        <v>469</v>
      </c>
      <c r="L3" s="10" t="s">
        <v>397</v>
      </c>
      <c r="M3" s="12" t="s">
        <v>369</v>
      </c>
      <c r="N3" s="164" t="s">
        <v>470</v>
      </c>
      <c r="O3" s="164" t="s">
        <v>471</v>
      </c>
      <c r="P3" s="165" t="s">
        <v>97</v>
      </c>
      <c r="Q3" s="165" t="s">
        <v>472</v>
      </c>
    </row>
    <row r="4" spans="1:21" ht="14.25" thickTop="1" x14ac:dyDescent="0.2">
      <c r="A4" s="65" t="s">
        <v>0</v>
      </c>
      <c r="B4" s="166" t="s">
        <v>8</v>
      </c>
      <c r="C4" s="166" t="s">
        <v>9</v>
      </c>
      <c r="D4" s="167">
        <f>IF(D2&gt;F4,F4,D2)</f>
        <v>25586.341133827074</v>
      </c>
      <c r="E4" s="168">
        <f>IF(G4&gt;=D4,"0",D4-G4)</f>
        <v>1425.4902048118929</v>
      </c>
      <c r="F4" s="169">
        <f t="shared" ref="F4" si="0">((((H4*K4-J4-L4)*I4)*1000000))/1000000</f>
        <v>25586.341133827074</v>
      </c>
      <c r="G4" s="167">
        <f>((H4*K4-L4-J4)*I4)/(1+N4/100)^M4</f>
        <v>24160.850929015181</v>
      </c>
      <c r="H4" s="170">
        <f>S30*100</f>
        <v>25707.826352412932</v>
      </c>
      <c r="I4" s="171">
        <f>345/345</f>
        <v>1</v>
      </c>
      <c r="J4" s="170">
        <v>0</v>
      </c>
      <c r="K4" s="172">
        <v>1</v>
      </c>
      <c r="L4" s="170">
        <f>5.5+0.3+H4*0.0045</f>
        <v>121.48521858585818</v>
      </c>
      <c r="M4" s="173">
        <v>1</v>
      </c>
      <c r="N4" s="174">
        <v>5.9</v>
      </c>
      <c r="O4" s="175" t="s">
        <v>473</v>
      </c>
      <c r="P4" s="153">
        <f>IF(D4*24%&lt;E4,0,IF(E4/D4&lt;20%,D4*4%,D4*24%-E4))</f>
        <v>1023.4536453530829</v>
      </c>
      <c r="Q4" s="153">
        <f>E4+P4</f>
        <v>2448.9438501649756</v>
      </c>
    </row>
    <row r="5" spans="1:21" ht="13.5" x14ac:dyDescent="0.2">
      <c r="A5" s="65" t="s">
        <v>1</v>
      </c>
      <c r="B5" s="166" t="s">
        <v>8</v>
      </c>
      <c r="C5" s="166" t="s">
        <v>9</v>
      </c>
      <c r="D5" s="85">
        <f>IF(D2&gt;F4,D2-D4,0)</f>
        <v>7503.6588661729256</v>
      </c>
      <c r="E5" s="168">
        <f>D5</f>
        <v>7503.6588661729256</v>
      </c>
      <c r="F5" s="169">
        <f>F4</f>
        <v>25586.341133827074</v>
      </c>
      <c r="G5" s="167">
        <f>((H5*K5-L5-J5)*I5)/(1+N5/100)^M5</f>
        <v>24160.850929015181</v>
      </c>
      <c r="H5" s="170">
        <f>S30*100</f>
        <v>25707.826352412932</v>
      </c>
      <c r="I5" s="171">
        <f>345/345</f>
        <v>1</v>
      </c>
      <c r="J5" s="170">
        <v>0</v>
      </c>
      <c r="K5" s="172">
        <v>1</v>
      </c>
      <c r="L5" s="170">
        <f>5.5+0.3+H4*0.0045</f>
        <v>121.48521858585818</v>
      </c>
      <c r="M5" s="173">
        <v>1</v>
      </c>
      <c r="N5" s="174">
        <v>5.9</v>
      </c>
      <c r="O5" s="175" t="s">
        <v>474</v>
      </c>
      <c r="P5" s="153">
        <f>IF(D5*24%&lt;E5,0,IF(E5/D5&lt;20%,D5*4%,D5*24%-E5))</f>
        <v>0</v>
      </c>
      <c r="Q5" s="153">
        <f>E5+P5</f>
        <v>7503.6588661729256</v>
      </c>
    </row>
    <row r="6" spans="1:21" x14ac:dyDescent="0.2">
      <c r="D6" s="86" t="b">
        <f>SUM(D4:D5)=D2</f>
        <v>1</v>
      </c>
      <c r="E6" s="87">
        <f>SUM(E4:E5)</f>
        <v>8929.1490709848185</v>
      </c>
      <c r="F6" s="88">
        <f>E6/D2</f>
        <v>0.26984433578074396</v>
      </c>
      <c r="Q6" s="86">
        <f>SUM(Q4:Q5)</f>
        <v>9952.6027163379003</v>
      </c>
    </row>
    <row r="9" spans="1:21" ht="13.5" x14ac:dyDescent="0.2">
      <c r="B9" s="176" t="s">
        <v>475</v>
      </c>
      <c r="C9" s="177"/>
      <c r="D9" s="177"/>
      <c r="E9" s="177"/>
      <c r="F9" s="178" t="s">
        <v>476</v>
      </c>
      <c r="G9" s="177"/>
      <c r="H9" s="177"/>
      <c r="I9" s="177"/>
      <c r="J9" s="177"/>
      <c r="K9" s="177"/>
      <c r="L9" s="177"/>
      <c r="M9" s="177"/>
      <c r="N9" s="177"/>
      <c r="O9" s="177"/>
      <c r="P9" s="177"/>
      <c r="Q9" s="177"/>
      <c r="R9" s="177"/>
      <c r="S9" s="177"/>
      <c r="T9" s="177"/>
      <c r="U9" s="177"/>
    </row>
    <row r="10" spans="1:21" ht="13.5" x14ac:dyDescent="0.2">
      <c r="B10" s="177" t="s">
        <v>477</v>
      </c>
      <c r="C10" s="177"/>
      <c r="D10" s="177"/>
      <c r="E10" s="177"/>
      <c r="F10" s="459" t="s">
        <v>478</v>
      </c>
      <c r="G10" s="460"/>
      <c r="H10" s="460"/>
      <c r="I10" s="460"/>
      <c r="J10" s="460"/>
      <c r="K10" s="460"/>
      <c r="L10" s="460"/>
      <c r="M10" s="460"/>
      <c r="N10" s="460"/>
      <c r="O10" s="460"/>
      <c r="P10" s="460"/>
      <c r="Q10" s="460"/>
      <c r="R10" s="460"/>
      <c r="S10" s="460"/>
      <c r="T10" s="460"/>
      <c r="U10" s="460"/>
    </row>
    <row r="11" spans="1:21" ht="13.5" x14ac:dyDescent="0.2">
      <c r="B11" s="177"/>
      <c r="C11" s="177"/>
      <c r="D11" s="177"/>
      <c r="E11" s="177"/>
      <c r="F11" s="461" t="s">
        <v>479</v>
      </c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89"/>
      <c r="S11" s="89"/>
      <c r="T11" s="89"/>
      <c r="U11" s="89"/>
    </row>
    <row r="12" spans="1:21" ht="13.5" x14ac:dyDescent="0.2">
      <c r="B12" s="177" t="s">
        <v>480</v>
      </c>
      <c r="C12" s="462">
        <f>7647*0.3025</f>
        <v>2313.2174999999997</v>
      </c>
      <c r="D12" s="177" t="s">
        <v>481</v>
      </c>
      <c r="E12" s="177"/>
      <c r="F12" s="90"/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  <c r="S12" s="89"/>
      <c r="T12" s="89"/>
      <c r="U12" s="89"/>
    </row>
    <row r="13" spans="1:21" ht="13.5" x14ac:dyDescent="0.2">
      <c r="B13" s="177" t="s">
        <v>482</v>
      </c>
      <c r="C13" s="462">
        <f>34401*0.3025</f>
        <v>10406.3025</v>
      </c>
      <c r="D13" s="177" t="s">
        <v>481</v>
      </c>
      <c r="E13" s="177"/>
      <c r="F13" s="90" t="s">
        <v>483</v>
      </c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  <c r="S13" s="89"/>
      <c r="T13" s="89"/>
      <c r="U13" s="89"/>
    </row>
    <row r="14" spans="1:21" ht="13.5" x14ac:dyDescent="0.2">
      <c r="B14" s="177" t="s">
        <v>484</v>
      </c>
      <c r="C14" s="462">
        <v>7934</v>
      </c>
      <c r="D14" s="177" t="s">
        <v>481</v>
      </c>
      <c r="E14" s="177"/>
      <c r="F14" s="463"/>
      <c r="G14" s="91"/>
      <c r="H14" s="91"/>
      <c r="I14" s="91"/>
      <c r="J14" s="91"/>
      <c r="K14" s="91"/>
      <c r="L14" s="91"/>
      <c r="M14" s="91"/>
      <c r="N14" s="91"/>
      <c r="O14" s="91"/>
      <c r="P14" s="91"/>
      <c r="Q14" s="91"/>
      <c r="R14" s="91"/>
      <c r="S14" s="91"/>
      <c r="T14" s="91"/>
      <c r="U14" s="91"/>
    </row>
    <row r="15" spans="1:21" ht="13.5" x14ac:dyDescent="0.2">
      <c r="B15" s="177" t="s">
        <v>485</v>
      </c>
      <c r="C15" s="464" t="s">
        <v>486</v>
      </c>
      <c r="D15" s="177" t="s">
        <v>487</v>
      </c>
      <c r="E15" s="177"/>
      <c r="F15" s="92"/>
      <c r="G15" s="92"/>
      <c r="H15" s="92"/>
      <c r="I15" s="92"/>
      <c r="J15" s="92"/>
      <c r="K15" s="92"/>
      <c r="L15" s="92"/>
      <c r="M15" s="92"/>
      <c r="N15" s="92"/>
      <c r="O15" s="92"/>
      <c r="P15" s="92"/>
      <c r="Q15" s="92"/>
      <c r="R15" s="92"/>
      <c r="S15" s="92"/>
      <c r="T15" s="92"/>
      <c r="U15" s="92"/>
    </row>
    <row r="16" spans="1:21" ht="13.5" x14ac:dyDescent="0.2">
      <c r="B16" s="177" t="s">
        <v>488</v>
      </c>
      <c r="C16" s="177" t="s">
        <v>489</v>
      </c>
      <c r="D16" s="177"/>
      <c r="E16" s="177"/>
      <c r="F16" s="465" t="s">
        <v>490</v>
      </c>
      <c r="G16" s="92"/>
      <c r="H16" s="92"/>
      <c r="I16" s="92"/>
      <c r="J16" s="92"/>
      <c r="K16" s="92"/>
      <c r="L16" s="92"/>
      <c r="M16" s="92"/>
      <c r="N16" s="92"/>
      <c r="O16" s="92"/>
      <c r="P16" s="92"/>
      <c r="Q16" s="92"/>
      <c r="R16" s="92"/>
      <c r="S16" s="92"/>
      <c r="T16" s="92"/>
      <c r="U16" s="92"/>
    </row>
    <row r="17" spans="2:26" ht="13.5" x14ac:dyDescent="0.2">
      <c r="B17" s="177"/>
      <c r="C17" s="177"/>
      <c r="D17" s="177"/>
      <c r="E17" s="177"/>
      <c r="F17" s="459" t="s">
        <v>491</v>
      </c>
      <c r="G17" s="93"/>
      <c r="H17" s="93"/>
      <c r="I17" s="93"/>
      <c r="J17" s="93"/>
      <c r="K17" s="93"/>
      <c r="L17" s="93"/>
      <c r="M17" s="93"/>
      <c r="N17" s="93"/>
      <c r="O17" s="93"/>
      <c r="P17" s="93"/>
      <c r="Q17" s="93"/>
      <c r="R17" s="93"/>
      <c r="S17" s="93"/>
      <c r="T17" s="93"/>
      <c r="U17" s="93"/>
    </row>
    <row r="18" spans="2:26" ht="13.5" x14ac:dyDescent="0.2">
      <c r="B18" s="466" t="s">
        <v>492</v>
      </c>
      <c r="C18" s="466" t="s">
        <v>493</v>
      </c>
      <c r="D18" s="466" t="s">
        <v>494</v>
      </c>
      <c r="E18" s="177"/>
      <c r="F18" s="90" t="s">
        <v>495</v>
      </c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  <c r="S18" s="89"/>
      <c r="T18" s="89"/>
      <c r="U18" s="89"/>
    </row>
    <row r="19" spans="2:26" ht="13.5" x14ac:dyDescent="0.2">
      <c r="B19" s="466" t="s">
        <v>496</v>
      </c>
      <c r="C19" s="467">
        <v>345</v>
      </c>
      <c r="D19" s="467">
        <f>C19/C13*100000000</f>
        <v>3315298.5894845938</v>
      </c>
      <c r="E19" s="177"/>
      <c r="F19" s="90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  <c r="S19" s="89"/>
      <c r="T19" s="89"/>
      <c r="U19" s="89"/>
    </row>
    <row r="20" spans="2:26" ht="13.5" x14ac:dyDescent="0.2">
      <c r="B20" s="466" t="s">
        <v>497</v>
      </c>
      <c r="C20" s="467">
        <v>100</v>
      </c>
      <c r="D20" s="467">
        <f>(C19+C20)/C13*100000000</f>
        <v>4276254.7023786791</v>
      </c>
      <c r="E20" s="177"/>
      <c r="F20" s="90" t="s">
        <v>498</v>
      </c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  <c r="S20" s="89"/>
      <c r="T20" s="89"/>
      <c r="U20" s="89"/>
    </row>
    <row r="21" spans="2:26" ht="13.5" x14ac:dyDescent="0.2">
      <c r="B21" s="466" t="s">
        <v>499</v>
      </c>
      <c r="C21" s="467">
        <v>70</v>
      </c>
      <c r="D21" s="467">
        <f>(C19+C20+C21)/C13*100000000</f>
        <v>4948923.9814045383</v>
      </c>
      <c r="E21" s="177"/>
      <c r="F21" s="463"/>
      <c r="G21" s="91"/>
      <c r="H21" s="91"/>
      <c r="I21" s="91"/>
      <c r="J21" s="91"/>
      <c r="K21" s="91"/>
      <c r="L21" s="91"/>
      <c r="M21" s="91"/>
      <c r="N21" s="91"/>
      <c r="O21" s="91"/>
      <c r="P21" s="91"/>
      <c r="Q21" s="91"/>
      <c r="R21" s="91"/>
      <c r="S21" s="91"/>
      <c r="T21" s="91"/>
      <c r="U21" s="91"/>
    </row>
    <row r="22" spans="2:26" ht="13.5" x14ac:dyDescent="0.2">
      <c r="B22" s="468" t="s">
        <v>160</v>
      </c>
      <c r="C22" s="469">
        <f>SUM(C19:C21)</f>
        <v>515</v>
      </c>
      <c r="D22" s="468"/>
      <c r="E22" s="177"/>
      <c r="F22" s="92"/>
      <c r="G22" s="92"/>
      <c r="H22" s="92"/>
      <c r="I22" s="92"/>
      <c r="J22" s="92"/>
      <c r="K22" s="92"/>
      <c r="L22" s="92"/>
      <c r="M22" s="92"/>
      <c r="N22" s="92"/>
      <c r="O22" s="92"/>
      <c r="P22" s="92"/>
      <c r="Q22" s="92"/>
      <c r="R22" s="92"/>
      <c r="S22" s="92"/>
      <c r="T22" s="92"/>
      <c r="U22" s="92"/>
    </row>
    <row r="23" spans="2:26" ht="13.5" x14ac:dyDescent="0.2">
      <c r="B23" s="177"/>
      <c r="C23" s="177"/>
      <c r="D23" s="177"/>
      <c r="E23" s="177"/>
      <c r="F23" s="92"/>
      <c r="G23" s="92"/>
      <c r="H23" s="92"/>
      <c r="I23" s="92"/>
      <c r="J23" s="92"/>
      <c r="K23" s="92"/>
      <c r="L23" s="92"/>
      <c r="M23" s="92"/>
      <c r="N23" s="92"/>
      <c r="O23" s="92"/>
      <c r="P23" s="92"/>
      <c r="Q23" s="92"/>
      <c r="R23" s="92"/>
      <c r="S23" s="92"/>
      <c r="T23" s="92"/>
      <c r="U23" s="92"/>
    </row>
    <row r="24" spans="2:26" ht="13.5" x14ac:dyDescent="0.2">
      <c r="B24" s="591" t="s">
        <v>500</v>
      </c>
      <c r="C24" s="591"/>
      <c r="D24" s="591"/>
      <c r="E24" s="177"/>
      <c r="F24" s="465" t="s">
        <v>501</v>
      </c>
      <c r="G24" s="92"/>
      <c r="H24" s="92"/>
      <c r="I24" s="92"/>
      <c r="J24" s="92"/>
      <c r="K24" s="92"/>
      <c r="L24" s="92"/>
      <c r="M24" s="92"/>
      <c r="N24" s="92"/>
      <c r="O24" s="92"/>
      <c r="P24" s="92"/>
      <c r="Q24" s="92"/>
      <c r="R24" s="92"/>
      <c r="S24" s="92"/>
      <c r="T24" s="92"/>
      <c r="U24" s="92"/>
    </row>
    <row r="25" spans="2:26" ht="13.5" x14ac:dyDescent="0.2">
      <c r="B25" s="466" t="s">
        <v>502</v>
      </c>
      <c r="C25" s="470">
        <v>100</v>
      </c>
      <c r="D25" s="179"/>
      <c r="E25" s="177"/>
      <c r="F25" s="459"/>
      <c r="G25" s="93"/>
      <c r="H25" s="93"/>
      <c r="I25" s="93"/>
      <c r="J25" s="93"/>
      <c r="K25" s="460"/>
      <c r="L25" s="93"/>
      <c r="M25" s="460"/>
      <c r="N25" s="460"/>
      <c r="O25" s="460"/>
      <c r="P25" s="460"/>
      <c r="Q25" s="460"/>
      <c r="R25" s="460"/>
      <c r="S25" s="460"/>
      <c r="T25" s="460"/>
      <c r="U25" s="460"/>
    </row>
    <row r="26" spans="2:26" ht="13.5" x14ac:dyDescent="0.2">
      <c r="B26" s="466" t="s">
        <v>503</v>
      </c>
      <c r="C26" s="470">
        <v>433</v>
      </c>
      <c r="D26" s="179"/>
      <c r="E26" s="177"/>
      <c r="F26" s="90"/>
      <c r="G26" s="180" t="s">
        <v>504</v>
      </c>
      <c r="H26" s="181">
        <v>100000000</v>
      </c>
      <c r="I26" s="182"/>
      <c r="J26" s="89"/>
      <c r="K26" s="180" t="s">
        <v>505</v>
      </c>
      <c r="L26" s="182"/>
      <c r="M26" s="182"/>
      <c r="N26" s="182"/>
      <c r="O26" s="182"/>
      <c r="P26" s="89"/>
      <c r="Q26" s="180" t="s">
        <v>506</v>
      </c>
      <c r="R26" s="182"/>
      <c r="S26" s="182"/>
      <c r="T26" s="182"/>
      <c r="U26" s="182"/>
    </row>
    <row r="27" spans="2:26" ht="13.5" x14ac:dyDescent="0.2">
      <c r="B27" s="468" t="s">
        <v>160</v>
      </c>
      <c r="C27" s="471">
        <f>SUM(C25:C26)</f>
        <v>533</v>
      </c>
      <c r="D27" s="472"/>
      <c r="E27" s="177"/>
      <c r="F27" s="90"/>
      <c r="G27" s="473" t="s">
        <v>508</v>
      </c>
      <c r="H27" s="474" t="s">
        <v>509</v>
      </c>
      <c r="I27" s="475" t="s">
        <v>510</v>
      </c>
      <c r="J27" s="89"/>
      <c r="K27" s="476" t="s">
        <v>507</v>
      </c>
      <c r="L27" s="477"/>
      <c r="M27" s="477"/>
      <c r="N27" s="477" t="s">
        <v>511</v>
      </c>
      <c r="O27" s="478" t="s">
        <v>512</v>
      </c>
      <c r="P27" s="89"/>
      <c r="Q27" s="479" t="s">
        <v>153</v>
      </c>
      <c r="R27" s="480"/>
      <c r="S27" s="481" t="s">
        <v>512</v>
      </c>
      <c r="T27" s="482" t="s">
        <v>513</v>
      </c>
      <c r="U27" s="182"/>
    </row>
    <row r="28" spans="2:26" ht="13.5" x14ac:dyDescent="0.2">
      <c r="B28" s="177"/>
      <c r="C28" s="177"/>
      <c r="D28" s="177"/>
      <c r="E28" s="177"/>
      <c r="F28" s="90"/>
      <c r="G28" s="483" t="s">
        <v>514</v>
      </c>
      <c r="H28" s="183">
        <v>69000</v>
      </c>
      <c r="I28" s="484" t="s">
        <v>515</v>
      </c>
      <c r="J28" s="89"/>
      <c r="K28" s="485" t="s">
        <v>516</v>
      </c>
      <c r="L28" s="94"/>
      <c r="M28" s="94" t="s">
        <v>517</v>
      </c>
      <c r="N28" s="183">
        <v>217</v>
      </c>
      <c r="O28" s="486">
        <f t="shared" ref="O28:O36" si="1">N28*$C$13*12/$H$26</f>
        <v>0.27098011710000003</v>
      </c>
      <c r="P28" s="89"/>
      <c r="Q28" s="487" t="s">
        <v>518</v>
      </c>
      <c r="R28" s="487"/>
      <c r="S28" s="488">
        <f>H37-O38</f>
        <v>17.995478446689056</v>
      </c>
      <c r="T28" s="489">
        <v>1</v>
      </c>
      <c r="U28" s="182"/>
    </row>
    <row r="29" spans="2:26" ht="13.5" x14ac:dyDescent="0.2">
      <c r="B29" s="184" t="s">
        <v>519</v>
      </c>
      <c r="C29" s="184"/>
      <c r="D29" s="184"/>
      <c r="E29" s="177"/>
      <c r="F29" s="90"/>
      <c r="G29" s="483" t="s">
        <v>520</v>
      </c>
      <c r="H29" s="490">
        <v>5</v>
      </c>
      <c r="I29" s="484" t="s">
        <v>521</v>
      </c>
      <c r="J29" s="89"/>
      <c r="K29" s="485" t="s">
        <v>522</v>
      </c>
      <c r="L29" s="94"/>
      <c r="M29" s="94" t="s">
        <v>517</v>
      </c>
      <c r="N29" s="183">
        <v>1200</v>
      </c>
      <c r="O29" s="486">
        <f t="shared" si="1"/>
        <v>1.49850756</v>
      </c>
      <c r="P29" s="89"/>
      <c r="Q29" s="491" t="s">
        <v>523</v>
      </c>
      <c r="R29" s="492"/>
      <c r="S29" s="493">
        <v>7.0000000000000007E-2</v>
      </c>
      <c r="T29" s="494"/>
      <c r="U29" s="92"/>
      <c r="V29" s="177"/>
      <c r="W29" s="177"/>
      <c r="X29" s="177"/>
      <c r="Y29" s="177"/>
    </row>
    <row r="30" spans="2:26" ht="13.5" x14ac:dyDescent="0.2">
      <c r="B30" s="184" t="s">
        <v>524</v>
      </c>
      <c r="C30" s="495">
        <f>C31*C13*3.3058/100000000</f>
        <v>17.200577402250001</v>
      </c>
      <c r="D30" s="184" t="s">
        <v>525</v>
      </c>
      <c r="E30" s="177"/>
      <c r="F30" s="90"/>
      <c r="G30" s="483" t="s">
        <v>526</v>
      </c>
      <c r="H30" s="185">
        <f>H28*(12-H29)/12</f>
        <v>40250</v>
      </c>
      <c r="I30" s="484" t="s">
        <v>511</v>
      </c>
      <c r="J30" s="89"/>
      <c r="K30" s="485" t="s">
        <v>527</v>
      </c>
      <c r="L30" s="94"/>
      <c r="M30" s="94" t="s">
        <v>517</v>
      </c>
      <c r="N30" s="183">
        <v>900</v>
      </c>
      <c r="O30" s="486">
        <f t="shared" si="1"/>
        <v>1.1238806699999999</v>
      </c>
      <c r="P30" s="89"/>
      <c r="Q30" s="496" t="s">
        <v>528</v>
      </c>
      <c r="R30" s="497"/>
      <c r="S30" s="498">
        <f>S28/S29</f>
        <v>257.07826352412934</v>
      </c>
      <c r="T30" s="499"/>
      <c r="U30" s="92"/>
      <c r="V30" s="182"/>
      <c r="W30" s="182"/>
      <c r="X30" s="182"/>
      <c r="Y30" s="182"/>
      <c r="Z30" s="120"/>
    </row>
    <row r="31" spans="2:26" ht="13.5" x14ac:dyDescent="0.2">
      <c r="B31" s="592" t="s">
        <v>529</v>
      </c>
      <c r="C31" s="186">
        <v>50000</v>
      </c>
      <c r="D31" s="184" t="s">
        <v>530</v>
      </c>
      <c r="E31" s="177"/>
      <c r="F31" s="90"/>
      <c r="G31" s="483" t="s">
        <v>531</v>
      </c>
      <c r="H31" s="185">
        <v>3000</v>
      </c>
      <c r="I31" s="484" t="s">
        <v>515</v>
      </c>
      <c r="J31" s="89"/>
      <c r="K31" s="485" t="s">
        <v>532</v>
      </c>
      <c r="L31" s="94"/>
      <c r="M31" s="94" t="s">
        <v>517</v>
      </c>
      <c r="N31" s="183">
        <v>450</v>
      </c>
      <c r="O31" s="486">
        <f t="shared" si="1"/>
        <v>0.56194033499999996</v>
      </c>
      <c r="P31" s="89"/>
      <c r="Q31" s="182"/>
      <c r="R31" s="182"/>
      <c r="S31" s="182"/>
      <c r="T31" s="182"/>
      <c r="U31" s="92"/>
      <c r="V31" s="89"/>
      <c r="W31" s="89"/>
      <c r="X31" s="120"/>
      <c r="Y31" s="182"/>
      <c r="Z31" s="120"/>
    </row>
    <row r="32" spans="2:26" ht="13.5" x14ac:dyDescent="0.2">
      <c r="B32" s="592"/>
      <c r="C32" s="184" t="s">
        <v>533</v>
      </c>
      <c r="D32" s="184"/>
      <c r="E32" s="177"/>
      <c r="F32" s="90"/>
      <c r="G32" s="483" t="s">
        <v>534</v>
      </c>
      <c r="H32" s="187">
        <v>0.20100000000000001</v>
      </c>
      <c r="I32" s="484"/>
      <c r="J32" s="89"/>
      <c r="K32" s="485" t="s">
        <v>535</v>
      </c>
      <c r="L32" s="94"/>
      <c r="M32" s="94" t="s">
        <v>517</v>
      </c>
      <c r="N32" s="183">
        <v>0</v>
      </c>
      <c r="O32" s="486">
        <f t="shared" si="1"/>
        <v>0</v>
      </c>
      <c r="P32" s="89"/>
      <c r="Q32" s="182"/>
      <c r="R32" s="182"/>
      <c r="T32" s="95"/>
      <c r="U32" s="92"/>
      <c r="V32" s="89"/>
      <c r="W32" s="89"/>
      <c r="X32" s="120"/>
      <c r="Y32" s="120"/>
      <c r="Z32" s="120"/>
    </row>
    <row r="33" spans="2:26" ht="13.5" x14ac:dyDescent="0.2">
      <c r="B33" s="184"/>
      <c r="C33" s="184"/>
      <c r="D33" s="184"/>
      <c r="E33" s="177"/>
      <c r="F33" s="90"/>
      <c r="G33" s="500"/>
      <c r="H33" s="96"/>
      <c r="I33" s="484"/>
      <c r="J33" s="89"/>
      <c r="K33" s="485" t="s">
        <v>536</v>
      </c>
      <c r="L33" s="183" t="s">
        <v>537</v>
      </c>
      <c r="M33" s="94" t="s">
        <v>517</v>
      </c>
      <c r="N33" s="183">
        <v>3600</v>
      </c>
      <c r="O33" s="486">
        <f t="shared" si="1"/>
        <v>4.4955226799999997</v>
      </c>
      <c r="P33" s="89"/>
      <c r="Q33" s="182"/>
      <c r="R33" s="182"/>
      <c r="T33" s="188"/>
      <c r="U33" s="92"/>
      <c r="V33" s="89"/>
      <c r="W33" s="89"/>
      <c r="X33" s="120"/>
      <c r="Y33" s="120"/>
      <c r="Z33" s="120"/>
    </row>
    <row r="34" spans="2:26" ht="13.5" x14ac:dyDescent="0.2">
      <c r="B34" s="184" t="s">
        <v>538</v>
      </c>
      <c r="C34" s="186">
        <v>33000</v>
      </c>
      <c r="D34" s="184" t="s">
        <v>511</v>
      </c>
      <c r="E34" s="177"/>
      <c r="F34" s="90"/>
      <c r="G34" s="483" t="s">
        <v>539</v>
      </c>
      <c r="H34" s="189">
        <f>H28*12*C14/$H$26+H31*12*C14/$H$26</f>
        <v>68.549760000000006</v>
      </c>
      <c r="I34" s="484" t="s">
        <v>512</v>
      </c>
      <c r="J34" s="89"/>
      <c r="K34" s="485" t="s">
        <v>540</v>
      </c>
      <c r="L34" s="94"/>
      <c r="M34" s="94" t="s">
        <v>517</v>
      </c>
      <c r="N34" s="183">
        <f>293.416551359566*70%</f>
        <v>205.39158595169616</v>
      </c>
      <c r="O34" s="486">
        <f t="shared" si="1"/>
        <v>0.25648403692417204</v>
      </c>
      <c r="P34" s="89"/>
      <c r="Q34" s="182"/>
      <c r="R34" s="182"/>
      <c r="T34" s="188"/>
      <c r="U34" s="182"/>
      <c r="V34" s="89"/>
      <c r="W34" s="89"/>
      <c r="X34" s="120"/>
      <c r="Y34" s="120"/>
      <c r="Z34" s="120"/>
    </row>
    <row r="35" spans="2:26" ht="13.5" x14ac:dyDescent="0.2">
      <c r="B35" s="184" t="s">
        <v>541</v>
      </c>
      <c r="C35" s="190">
        <v>0.9</v>
      </c>
      <c r="D35" s="184"/>
      <c r="E35" s="177"/>
      <c r="F35" s="90"/>
      <c r="G35" s="483" t="s">
        <v>542</v>
      </c>
      <c r="H35" s="189">
        <f>H28*H29*C14/$H$26</f>
        <v>27.372299999999999</v>
      </c>
      <c r="I35" s="484" t="s">
        <v>512</v>
      </c>
      <c r="J35" s="89"/>
      <c r="K35" s="485" t="s">
        <v>543</v>
      </c>
      <c r="L35" s="94"/>
      <c r="M35" s="94" t="s">
        <v>517</v>
      </c>
      <c r="N35" s="183">
        <f>142.220987916766*70%</f>
        <v>99.554691541736204</v>
      </c>
      <c r="O35" s="486">
        <f t="shared" si="1"/>
        <v>0.12431954825729979</v>
      </c>
      <c r="P35" s="89"/>
      <c r="Q35" s="182"/>
      <c r="R35" s="182"/>
      <c r="S35" s="182"/>
      <c r="T35" s="182"/>
      <c r="U35" s="182"/>
      <c r="V35" s="89"/>
      <c r="W35" s="89"/>
      <c r="X35" s="120"/>
      <c r="Y35" s="120"/>
      <c r="Z35" s="120"/>
    </row>
    <row r="36" spans="2:26" ht="13.5" x14ac:dyDescent="0.2">
      <c r="B36" s="184" t="s">
        <v>544</v>
      </c>
      <c r="C36" s="186">
        <f>C34*C14*12*C35/100000000</f>
        <v>28.276776000000002</v>
      </c>
      <c r="D36" s="184" t="s">
        <v>545</v>
      </c>
      <c r="E36" s="177"/>
      <c r="F36" s="90"/>
      <c r="G36" s="483" t="s">
        <v>546</v>
      </c>
      <c r="H36" s="97">
        <f>H34*H32</f>
        <v>13.778501760000003</v>
      </c>
      <c r="I36" s="501" t="s">
        <v>547</v>
      </c>
      <c r="J36" s="89"/>
      <c r="K36" s="485" t="s">
        <v>548</v>
      </c>
      <c r="L36" s="94"/>
      <c r="M36" s="94" t="s">
        <v>517</v>
      </c>
      <c r="N36" s="183">
        <f>1226.18554388815*70%</f>
        <v>858.32988072170497</v>
      </c>
      <c r="O36" s="486">
        <f t="shared" si="1"/>
        <v>1.0718448460294776</v>
      </c>
      <c r="P36" s="89"/>
      <c r="Q36" s="182" t="s">
        <v>549</v>
      </c>
      <c r="S36" s="182"/>
      <c r="T36" s="177"/>
      <c r="U36" s="177"/>
      <c r="V36" s="89"/>
      <c r="W36" s="89"/>
      <c r="X36" s="120"/>
      <c r="Y36" s="120"/>
      <c r="Z36" s="120"/>
    </row>
    <row r="37" spans="2:26" ht="13.5" x14ac:dyDescent="0.2">
      <c r="B37" s="184" t="s">
        <v>550</v>
      </c>
      <c r="C37" s="191">
        <f>C36/SUM(C19)</f>
        <v>8.1961669565217402E-2</v>
      </c>
      <c r="D37" s="184"/>
      <c r="E37" s="177"/>
      <c r="F37" s="90"/>
      <c r="G37" s="502" t="s">
        <v>551</v>
      </c>
      <c r="H37" s="503">
        <f>H34-H35-H36</f>
        <v>27.398958240000006</v>
      </c>
      <c r="I37" s="504" t="s">
        <v>552</v>
      </c>
      <c r="J37" s="89"/>
      <c r="K37" s="485"/>
      <c r="L37" s="94"/>
      <c r="M37" s="94"/>
      <c r="N37" s="183"/>
      <c r="O37" s="486"/>
      <c r="P37" s="89"/>
      <c r="Q37" s="192" t="s">
        <v>553</v>
      </c>
      <c r="R37" s="182"/>
      <c r="S37" s="193"/>
      <c r="T37" s="177"/>
      <c r="U37" s="177"/>
      <c r="V37" s="89"/>
      <c r="W37" s="89"/>
      <c r="X37" s="120"/>
      <c r="Y37" s="120"/>
      <c r="Z37" s="120"/>
    </row>
    <row r="38" spans="2:26" ht="13.5" x14ac:dyDescent="0.2">
      <c r="B38" s="184" t="s">
        <v>554</v>
      </c>
      <c r="C38" s="191">
        <f>C36/(C19-C30)</f>
        <v>8.6262433825879753E-2</v>
      </c>
      <c r="D38" s="184"/>
      <c r="E38" s="177"/>
      <c r="F38" s="90"/>
      <c r="G38" s="89"/>
      <c r="H38" s="89"/>
      <c r="I38" s="89"/>
      <c r="J38" s="89"/>
      <c r="K38" s="502" t="s">
        <v>555</v>
      </c>
      <c r="L38" s="505"/>
      <c r="M38" s="505"/>
      <c r="N38" s="505"/>
      <c r="O38" s="506">
        <f>SUM(O28:O37)</f>
        <v>9.4034797933109484</v>
      </c>
      <c r="P38" s="89"/>
      <c r="Q38" s="182"/>
      <c r="R38" s="182"/>
      <c r="S38" s="182"/>
      <c r="T38" s="182"/>
      <c r="U38" s="182"/>
      <c r="V38" s="89"/>
      <c r="W38" s="89"/>
      <c r="X38" s="120"/>
      <c r="Y38" s="120"/>
      <c r="Z38" s="120"/>
    </row>
    <row r="39" spans="2:26" ht="13.5" x14ac:dyDescent="0.2">
      <c r="B39" s="177"/>
      <c r="C39" s="177"/>
      <c r="D39" s="177"/>
      <c r="E39" s="177"/>
      <c r="F39" s="463"/>
      <c r="G39" s="91"/>
      <c r="H39" s="91"/>
      <c r="I39" s="91"/>
      <c r="J39" s="194"/>
      <c r="K39" s="194"/>
      <c r="L39" s="194"/>
      <c r="M39" s="194"/>
      <c r="N39" s="194"/>
      <c r="O39" s="194"/>
      <c r="P39" s="194"/>
      <c r="Q39" s="194"/>
      <c r="R39" s="194"/>
      <c r="S39" s="194"/>
      <c r="T39" s="194"/>
      <c r="U39" s="194"/>
      <c r="V39" s="89"/>
      <c r="W39" s="89"/>
      <c r="X39" s="120"/>
      <c r="Y39" s="120"/>
      <c r="Z39" s="120"/>
    </row>
    <row r="40" spans="2:26" ht="13.5" x14ac:dyDescent="0.2">
      <c r="B40" s="177"/>
      <c r="C40" s="177"/>
      <c r="D40" s="177"/>
      <c r="E40" s="177"/>
      <c r="F40" s="92"/>
      <c r="G40" s="92"/>
      <c r="H40" s="92"/>
      <c r="I40" s="92"/>
      <c r="J40" s="177"/>
      <c r="K40" s="177"/>
      <c r="L40" s="177"/>
      <c r="M40" s="177"/>
      <c r="N40" s="177"/>
      <c r="O40" s="177"/>
      <c r="P40" s="177"/>
      <c r="Q40" s="177"/>
      <c r="R40" s="177"/>
      <c r="S40" s="177"/>
      <c r="T40" s="177"/>
      <c r="U40" s="177"/>
      <c r="V40" s="89"/>
      <c r="W40" s="89"/>
      <c r="X40" s="120"/>
      <c r="Y40" s="120"/>
      <c r="Z40" s="120"/>
    </row>
    <row r="41" spans="2:26" ht="13.5" x14ac:dyDescent="0.2">
      <c r="B41" s="177"/>
      <c r="C41" s="177"/>
      <c r="D41" s="177"/>
      <c r="E41" s="177"/>
      <c r="F41" s="92"/>
      <c r="G41" s="92"/>
      <c r="H41" s="92"/>
      <c r="I41" s="92"/>
      <c r="J41" s="177"/>
      <c r="K41" s="177"/>
      <c r="L41" s="92"/>
      <c r="M41" s="92"/>
      <c r="N41" s="92"/>
      <c r="O41" s="177"/>
      <c r="P41" s="177"/>
      <c r="R41" s="182"/>
      <c r="S41" s="177"/>
      <c r="T41" s="177"/>
      <c r="U41" s="177"/>
      <c r="V41" s="89"/>
      <c r="W41" s="89"/>
      <c r="X41" s="120"/>
      <c r="Y41" s="120"/>
      <c r="Z41" s="120"/>
    </row>
    <row r="42" spans="2:26" ht="13.5" x14ac:dyDescent="0.2">
      <c r="B42" s="177"/>
      <c r="C42" s="177"/>
      <c r="D42" s="177"/>
      <c r="E42" s="177"/>
      <c r="F42" s="178" t="s">
        <v>556</v>
      </c>
      <c r="G42" s="177"/>
      <c r="H42" s="177"/>
      <c r="I42" s="92"/>
      <c r="J42" s="177"/>
      <c r="K42" s="507" t="s">
        <v>557</v>
      </c>
      <c r="L42" s="460"/>
      <c r="M42" s="508"/>
      <c r="N42" s="92"/>
      <c r="O42" s="177"/>
      <c r="P42" s="177"/>
      <c r="V42" s="89"/>
      <c r="W42" s="89"/>
      <c r="X42" s="120"/>
      <c r="Y42" s="120"/>
      <c r="Z42" s="120"/>
    </row>
    <row r="43" spans="2:26" ht="13.5" x14ac:dyDescent="0.2">
      <c r="B43" s="177"/>
      <c r="C43" s="177"/>
      <c r="D43" s="177"/>
      <c r="E43" s="177"/>
      <c r="F43" s="466" t="s">
        <v>558</v>
      </c>
      <c r="G43" s="470">
        <f>61/12</f>
        <v>5.083333333333333</v>
      </c>
      <c r="H43" s="179" t="s">
        <v>559</v>
      </c>
      <c r="I43" s="177"/>
      <c r="J43" s="177"/>
      <c r="K43" s="461" t="s">
        <v>560</v>
      </c>
      <c r="L43" s="182"/>
      <c r="M43" s="509"/>
      <c r="N43" s="92"/>
      <c r="O43" s="177"/>
      <c r="P43" s="177"/>
      <c r="V43" s="89"/>
      <c r="W43" s="89"/>
      <c r="X43" s="120"/>
      <c r="Y43" s="120"/>
      <c r="Z43" s="120"/>
    </row>
    <row r="44" spans="2:26" ht="13.5" x14ac:dyDescent="0.2">
      <c r="B44" s="177"/>
      <c r="C44" s="177"/>
      <c r="D44" s="177"/>
      <c r="E44" s="177"/>
      <c r="F44" s="466" t="s">
        <v>561</v>
      </c>
      <c r="G44" s="470">
        <f>295803000/4287</f>
        <v>69000</v>
      </c>
      <c r="H44" s="179" t="s">
        <v>562</v>
      </c>
      <c r="I44" s="177"/>
      <c r="J44" s="177"/>
      <c r="K44" s="461" t="s">
        <v>563</v>
      </c>
      <c r="L44" s="182"/>
      <c r="M44" s="509"/>
      <c r="N44" s="92"/>
      <c r="O44" s="177"/>
      <c r="P44" s="177"/>
      <c r="S44" s="177"/>
      <c r="T44" s="177"/>
      <c r="U44" s="177"/>
      <c r="V44" s="89"/>
      <c r="W44" s="89"/>
      <c r="X44" s="120"/>
      <c r="Y44" s="120"/>
      <c r="Z44" s="120"/>
    </row>
    <row r="45" spans="2:26" ht="13.5" x14ac:dyDescent="0.2">
      <c r="B45" s="177"/>
      <c r="C45" s="177"/>
      <c r="D45" s="177"/>
      <c r="E45" s="177"/>
      <c r="F45" s="466" t="s">
        <v>564</v>
      </c>
      <c r="G45" s="470">
        <f>17148000/4287</f>
        <v>4000</v>
      </c>
      <c r="H45" s="179" t="s">
        <v>565</v>
      </c>
      <c r="I45" s="92"/>
      <c r="J45" s="92"/>
      <c r="K45" s="510" t="s">
        <v>566</v>
      </c>
      <c r="L45" s="194"/>
      <c r="M45" s="511"/>
      <c r="N45" s="92"/>
      <c r="O45" s="92"/>
      <c r="P45" s="92"/>
      <c r="S45" s="92"/>
      <c r="T45" s="92"/>
      <c r="U45" s="92"/>
      <c r="V45" s="182"/>
      <c r="W45" s="182"/>
      <c r="X45" s="120"/>
      <c r="Y45" s="182"/>
      <c r="Z45" s="120"/>
    </row>
    <row r="46" spans="2:26" ht="13.5" x14ac:dyDescent="0.2">
      <c r="B46" s="177"/>
      <c r="C46" s="177"/>
      <c r="D46" s="177"/>
      <c r="E46" s="177"/>
      <c r="F46" s="591" t="s">
        <v>567</v>
      </c>
      <c r="G46" s="179">
        <v>14</v>
      </c>
      <c r="H46" s="179" t="s">
        <v>568</v>
      </c>
      <c r="I46" s="92"/>
      <c r="J46" s="92"/>
      <c r="K46" s="92"/>
      <c r="L46" s="92"/>
      <c r="M46" s="92"/>
      <c r="N46" s="92"/>
      <c r="O46" s="92"/>
      <c r="P46" s="92"/>
      <c r="Q46" s="92"/>
      <c r="R46" s="92"/>
      <c r="S46" s="92"/>
      <c r="T46" s="92"/>
      <c r="U46" s="92"/>
      <c r="V46" s="182"/>
      <c r="W46" s="89"/>
      <c r="X46" s="120"/>
      <c r="Y46" s="182"/>
      <c r="Z46" s="120"/>
    </row>
    <row r="47" spans="2:26" ht="13.5" x14ac:dyDescent="0.2">
      <c r="B47" s="177"/>
      <c r="C47" s="177"/>
      <c r="D47" s="177"/>
      <c r="E47" s="177"/>
      <c r="F47" s="591"/>
      <c r="G47" s="512">
        <f>G46/G43</f>
        <v>2.7540983606557377</v>
      </c>
      <c r="H47" s="179" t="s">
        <v>569</v>
      </c>
      <c r="I47" s="92"/>
      <c r="J47" s="92"/>
      <c r="K47" s="177"/>
      <c r="L47" s="177"/>
      <c r="M47" s="177"/>
      <c r="N47" s="177"/>
      <c r="O47" s="177"/>
      <c r="P47" s="177"/>
      <c r="Q47" s="177"/>
      <c r="R47" s="177"/>
      <c r="S47" s="177"/>
      <c r="T47" s="177"/>
      <c r="U47" s="177"/>
      <c r="V47" s="182"/>
      <c r="W47" s="89"/>
      <c r="X47" s="182"/>
      <c r="Y47" s="182"/>
      <c r="Z47" s="120"/>
    </row>
    <row r="48" spans="2:26" ht="13.5" x14ac:dyDescent="0.2">
      <c r="B48" s="177"/>
      <c r="C48" s="177"/>
      <c r="D48" s="177"/>
      <c r="E48" s="177"/>
      <c r="F48" s="591" t="s">
        <v>570</v>
      </c>
      <c r="G48" s="179">
        <v>11</v>
      </c>
      <c r="H48" s="179" t="s">
        <v>571</v>
      </c>
      <c r="I48" s="92"/>
      <c r="J48" s="92"/>
      <c r="K48" s="177"/>
      <c r="L48" s="177"/>
      <c r="M48" s="177"/>
      <c r="N48" s="177"/>
      <c r="O48" s="177"/>
      <c r="P48" s="177"/>
      <c r="Q48" s="177"/>
      <c r="R48" s="177"/>
      <c r="S48" s="177"/>
      <c r="T48" s="177"/>
      <c r="U48" s="177"/>
      <c r="V48" s="89"/>
      <c r="W48" s="89"/>
      <c r="X48" s="120"/>
      <c r="Y48" s="182"/>
      <c r="Z48" s="120"/>
    </row>
    <row r="49" spans="2:26" ht="13.5" x14ac:dyDescent="0.2">
      <c r="B49" s="177"/>
      <c r="C49" s="177"/>
      <c r="D49" s="177"/>
      <c r="E49" s="177"/>
      <c r="F49" s="591"/>
      <c r="G49" s="512">
        <f>G48/G43</f>
        <v>2.1639344262295084</v>
      </c>
      <c r="H49" s="179" t="s">
        <v>572</v>
      </c>
      <c r="I49" s="177"/>
      <c r="J49" s="177"/>
      <c r="K49" s="177"/>
      <c r="L49" s="177"/>
      <c r="M49" s="177"/>
      <c r="N49" s="177"/>
      <c r="O49" s="177"/>
      <c r="P49" s="177"/>
      <c r="Q49" s="177"/>
      <c r="R49" s="177"/>
      <c r="S49" s="177"/>
      <c r="T49" s="177"/>
      <c r="U49" s="177"/>
      <c r="V49" s="89"/>
      <c r="W49" s="89"/>
      <c r="X49" s="120"/>
      <c r="Y49" s="182"/>
      <c r="Z49" s="120"/>
    </row>
    <row r="50" spans="2:26" ht="13.5" x14ac:dyDescent="0.2">
      <c r="B50" s="177"/>
      <c r="C50" s="177"/>
      <c r="D50" s="177"/>
      <c r="E50" s="177"/>
      <c r="F50" s="466" t="s">
        <v>573</v>
      </c>
      <c r="G50" s="512">
        <f>G47+G49</f>
        <v>4.918032786885246</v>
      </c>
      <c r="H50" s="179" t="s">
        <v>572</v>
      </c>
      <c r="I50" s="177"/>
      <c r="J50" s="177"/>
      <c r="K50" s="177"/>
      <c r="L50" s="177"/>
      <c r="M50" s="177"/>
      <c r="N50" s="177"/>
      <c r="O50" s="177"/>
      <c r="P50" s="177"/>
      <c r="Q50" s="177"/>
      <c r="R50" s="177"/>
      <c r="S50" s="177"/>
      <c r="T50" s="177"/>
      <c r="U50" s="177"/>
      <c r="V50" s="89"/>
      <c r="W50" s="89"/>
      <c r="X50" s="120"/>
      <c r="Y50" s="182"/>
      <c r="Z50" s="120"/>
    </row>
    <row r="51" spans="2:26" ht="13.5" x14ac:dyDescent="0.2">
      <c r="B51" s="177"/>
      <c r="C51" s="177"/>
      <c r="D51" s="177"/>
      <c r="E51" s="177"/>
      <c r="F51" s="468" t="s">
        <v>574</v>
      </c>
      <c r="G51" s="471">
        <f>G44*(12-G50)/12</f>
        <v>40721.311475409835</v>
      </c>
      <c r="H51" s="472" t="s">
        <v>511</v>
      </c>
      <c r="I51" s="177"/>
      <c r="J51" s="177"/>
      <c r="K51" s="177"/>
      <c r="L51" s="177"/>
      <c r="M51" s="177"/>
      <c r="N51" s="177"/>
      <c r="O51" s="177"/>
      <c r="P51" s="177"/>
      <c r="Q51" s="177"/>
      <c r="R51" s="177"/>
      <c r="S51" s="177"/>
      <c r="T51" s="177"/>
      <c r="U51" s="177"/>
      <c r="V51" s="89"/>
      <c r="W51" s="89"/>
      <c r="X51" s="120"/>
      <c r="Y51" s="182"/>
      <c r="Z51" s="120"/>
    </row>
    <row r="52" spans="2:26" ht="13.5" x14ac:dyDescent="0.2">
      <c r="B52" s="177"/>
      <c r="C52" s="177"/>
      <c r="D52" s="177"/>
      <c r="E52" s="177"/>
      <c r="F52" s="92"/>
      <c r="G52" s="92"/>
      <c r="H52" s="92"/>
      <c r="I52" s="177"/>
      <c r="J52" s="177"/>
      <c r="K52" s="177"/>
      <c r="L52" s="177"/>
      <c r="M52" s="177"/>
      <c r="N52" s="177"/>
      <c r="O52" s="177"/>
      <c r="P52" s="177"/>
      <c r="Q52" s="177"/>
      <c r="R52" s="177"/>
      <c r="S52" s="177"/>
      <c r="T52" s="177"/>
      <c r="U52" s="177"/>
      <c r="V52" s="182"/>
      <c r="W52" s="89"/>
      <c r="X52" s="120"/>
      <c r="Y52" s="182"/>
      <c r="Z52" s="120"/>
    </row>
    <row r="53" spans="2:26" ht="13.5" x14ac:dyDescent="0.2">
      <c r="B53" s="177"/>
      <c r="C53" s="177"/>
      <c r="D53" s="177"/>
      <c r="E53" s="177"/>
      <c r="F53" s="92"/>
      <c r="G53" s="92"/>
      <c r="H53" s="92"/>
      <c r="I53" s="177"/>
      <c r="J53" s="177"/>
      <c r="K53" s="177"/>
      <c r="L53" s="177"/>
      <c r="M53" s="177"/>
      <c r="N53" s="177"/>
      <c r="O53" s="177"/>
      <c r="P53" s="177"/>
      <c r="Q53" s="177"/>
      <c r="R53" s="177"/>
      <c r="S53" s="177"/>
      <c r="T53" s="177"/>
      <c r="U53" s="177"/>
      <c r="V53" s="182"/>
      <c r="W53" s="89"/>
      <c r="X53" s="120"/>
      <c r="Y53" s="182"/>
      <c r="Z53" s="120"/>
    </row>
    <row r="54" spans="2:26" ht="13.5" x14ac:dyDescent="0.2">
      <c r="B54" s="177"/>
      <c r="C54" s="177"/>
      <c r="D54" s="177"/>
      <c r="E54" s="177"/>
      <c r="F54" s="92"/>
      <c r="G54" s="92"/>
      <c r="H54" s="92"/>
      <c r="I54" s="177"/>
      <c r="J54" s="177"/>
      <c r="K54" s="177"/>
      <c r="L54" s="177"/>
      <c r="M54" s="177"/>
      <c r="N54" s="177"/>
      <c r="O54" s="177"/>
      <c r="P54" s="177"/>
      <c r="Q54" s="177"/>
      <c r="R54" s="177"/>
      <c r="S54" s="177"/>
      <c r="T54" s="177"/>
      <c r="U54" s="177"/>
      <c r="V54" s="182"/>
      <c r="W54" s="182"/>
      <c r="X54" s="120"/>
      <c r="Y54" s="182"/>
      <c r="Z54" s="120"/>
    </row>
    <row r="55" spans="2:26" ht="13.5" x14ac:dyDescent="0.2">
      <c r="B55" s="177"/>
      <c r="C55" s="177"/>
      <c r="D55" s="177"/>
      <c r="E55" s="177"/>
      <c r="F55" s="92"/>
      <c r="G55" s="92"/>
      <c r="H55" s="92"/>
      <c r="I55" s="177"/>
      <c r="J55" s="177"/>
      <c r="K55" s="177"/>
      <c r="L55" s="177"/>
      <c r="M55" s="177"/>
      <c r="N55" s="177"/>
      <c r="O55" s="177"/>
      <c r="P55" s="177"/>
      <c r="Q55" s="177"/>
      <c r="R55" s="177"/>
      <c r="S55" s="177"/>
      <c r="T55" s="177"/>
      <c r="U55" s="177"/>
      <c r="V55" s="182"/>
      <c r="W55" s="182"/>
      <c r="X55" s="120"/>
      <c r="Y55" s="182"/>
      <c r="Z55" s="120"/>
    </row>
    <row r="56" spans="2:26" ht="13.5" x14ac:dyDescent="0.2">
      <c r="B56" s="177"/>
      <c r="C56" s="177"/>
      <c r="D56" s="177"/>
      <c r="E56" s="177"/>
      <c r="F56" s="92"/>
      <c r="G56" s="92"/>
      <c r="H56" s="92"/>
      <c r="I56" s="177"/>
      <c r="J56" s="177"/>
      <c r="K56" s="177"/>
      <c r="L56" s="177"/>
      <c r="M56" s="177"/>
      <c r="N56" s="177"/>
      <c r="O56" s="177"/>
      <c r="P56" s="177"/>
      <c r="Q56" s="177"/>
      <c r="R56" s="177"/>
      <c r="S56" s="177"/>
      <c r="T56" s="177"/>
      <c r="U56" s="177"/>
      <c r="V56" s="182"/>
      <c r="W56" s="89"/>
      <c r="X56" s="120"/>
      <c r="Y56" s="182"/>
      <c r="Z56" s="120"/>
    </row>
    <row r="57" spans="2:26" ht="13.5" x14ac:dyDescent="0.2">
      <c r="B57" s="177"/>
      <c r="C57" s="177"/>
      <c r="D57" s="177"/>
      <c r="E57" s="177"/>
      <c r="F57" s="92"/>
      <c r="G57" s="92"/>
      <c r="H57" s="92"/>
      <c r="I57" s="177"/>
      <c r="J57" s="177"/>
      <c r="K57" s="177"/>
      <c r="L57" s="177"/>
      <c r="M57" s="177"/>
      <c r="N57" s="177"/>
      <c r="O57" s="177"/>
      <c r="P57" s="177"/>
      <c r="Q57" s="177"/>
      <c r="R57" s="177"/>
      <c r="S57" s="177"/>
      <c r="T57" s="177"/>
      <c r="U57" s="177"/>
      <c r="V57" s="182"/>
      <c r="W57" s="182"/>
      <c r="X57" s="120"/>
      <c r="Y57" s="182"/>
      <c r="Z57" s="120"/>
    </row>
    <row r="58" spans="2:26" ht="13.5" x14ac:dyDescent="0.2">
      <c r="B58" s="177"/>
      <c r="C58" s="177"/>
      <c r="D58" s="177"/>
      <c r="E58" s="177"/>
      <c r="I58" s="177"/>
      <c r="J58" s="177"/>
      <c r="K58" s="177"/>
      <c r="L58" s="177"/>
      <c r="M58" s="177"/>
      <c r="N58" s="177"/>
      <c r="O58" s="177"/>
      <c r="P58" s="177"/>
      <c r="Q58" s="177"/>
      <c r="R58" s="177"/>
      <c r="S58" s="177"/>
      <c r="T58" s="177"/>
      <c r="U58" s="177"/>
      <c r="V58" s="182"/>
      <c r="W58" s="182"/>
      <c r="X58" s="120"/>
      <c r="Y58" s="182"/>
      <c r="Z58" s="120"/>
    </row>
    <row r="59" spans="2:26" ht="13.5" x14ac:dyDescent="0.2">
      <c r="B59" s="177"/>
      <c r="C59" s="177"/>
      <c r="D59" s="177"/>
      <c r="E59" s="177"/>
      <c r="F59" s="177"/>
      <c r="G59" s="177"/>
      <c r="H59" s="177"/>
      <c r="I59" s="177"/>
      <c r="J59" s="177"/>
      <c r="K59" s="177"/>
      <c r="L59" s="177"/>
      <c r="M59" s="177"/>
      <c r="N59" s="177"/>
      <c r="O59" s="177"/>
      <c r="P59" s="177"/>
      <c r="Q59" s="177"/>
      <c r="R59" s="177"/>
      <c r="S59" s="177"/>
      <c r="T59" s="177"/>
      <c r="U59" s="177"/>
      <c r="V59" s="182"/>
      <c r="W59" s="182"/>
      <c r="X59" s="182"/>
      <c r="Y59" s="182"/>
      <c r="Z59" s="120"/>
    </row>
    <row r="60" spans="2:26" ht="13.5" x14ac:dyDescent="0.2">
      <c r="B60" s="177"/>
      <c r="C60" s="177"/>
      <c r="D60" s="177"/>
      <c r="E60" s="177"/>
      <c r="F60" s="177"/>
      <c r="G60" s="177"/>
      <c r="H60" s="177"/>
      <c r="I60" s="177"/>
      <c r="J60" s="177"/>
      <c r="K60" s="177"/>
      <c r="L60" s="177"/>
      <c r="M60" s="177"/>
      <c r="N60" s="177"/>
      <c r="O60" s="177"/>
      <c r="P60" s="177"/>
      <c r="Q60" s="177"/>
      <c r="R60" s="177"/>
      <c r="S60" s="177"/>
      <c r="T60" s="177"/>
      <c r="U60" s="177"/>
      <c r="V60" s="120"/>
      <c r="W60" s="120"/>
      <c r="X60" s="182"/>
      <c r="Y60" s="182"/>
      <c r="Z60" s="120"/>
    </row>
    <row r="61" spans="2:26" ht="13.5" x14ac:dyDescent="0.2">
      <c r="B61" s="177"/>
      <c r="C61" s="177"/>
      <c r="D61" s="177"/>
      <c r="E61" s="177"/>
      <c r="F61" s="177"/>
      <c r="G61" s="177"/>
      <c r="H61" s="177"/>
      <c r="I61" s="177"/>
      <c r="J61" s="177"/>
      <c r="K61" s="177"/>
      <c r="L61" s="177"/>
      <c r="M61" s="177"/>
      <c r="N61" s="177"/>
      <c r="O61" s="177"/>
      <c r="P61" s="177"/>
      <c r="Q61" s="177"/>
      <c r="R61" s="177"/>
      <c r="S61" s="177"/>
      <c r="T61" s="177"/>
      <c r="U61" s="177"/>
      <c r="V61" s="120"/>
      <c r="W61" s="120"/>
      <c r="X61" s="182"/>
      <c r="Y61" s="182"/>
      <c r="Z61" s="120"/>
    </row>
    <row r="62" spans="2:26" ht="13.5" x14ac:dyDescent="0.2">
      <c r="B62" s="177"/>
      <c r="C62" s="177"/>
      <c r="D62" s="177"/>
      <c r="E62" s="177"/>
      <c r="F62" s="177"/>
      <c r="G62" s="177"/>
      <c r="H62" s="177"/>
      <c r="I62" s="177"/>
      <c r="J62" s="177"/>
      <c r="K62" s="177"/>
      <c r="L62" s="177"/>
      <c r="M62" s="177"/>
      <c r="N62" s="177"/>
      <c r="O62" s="177"/>
      <c r="P62" s="177"/>
      <c r="Q62" s="177"/>
      <c r="R62" s="177"/>
      <c r="S62" s="177"/>
      <c r="T62" s="177"/>
      <c r="U62" s="177"/>
      <c r="V62" s="182"/>
      <c r="W62" s="182"/>
      <c r="X62" s="182"/>
      <c r="Y62" s="182"/>
      <c r="Z62" s="120"/>
    </row>
    <row r="63" spans="2:26" ht="13.5" x14ac:dyDescent="0.2">
      <c r="B63" s="177"/>
      <c r="C63" s="177"/>
      <c r="D63" s="177"/>
      <c r="E63" s="177"/>
      <c r="F63" s="177"/>
      <c r="G63" s="177"/>
      <c r="H63" s="177"/>
      <c r="I63" s="177"/>
      <c r="J63" s="177"/>
      <c r="K63" s="177"/>
      <c r="L63" s="177"/>
      <c r="M63" s="177"/>
      <c r="N63" s="177"/>
      <c r="O63" s="177"/>
      <c r="P63" s="177"/>
      <c r="Q63" s="177"/>
      <c r="R63" s="177"/>
      <c r="S63" s="177"/>
      <c r="T63" s="177"/>
      <c r="U63" s="177"/>
      <c r="V63" s="89"/>
      <c r="W63" s="89"/>
      <c r="X63" s="182"/>
      <c r="Y63" s="182"/>
      <c r="Z63" s="120"/>
    </row>
    <row r="64" spans="2:26" ht="13.5" x14ac:dyDescent="0.2">
      <c r="B64" s="177"/>
      <c r="C64" s="177"/>
      <c r="D64" s="177"/>
      <c r="E64" s="177"/>
      <c r="F64" s="177"/>
      <c r="G64" s="177"/>
      <c r="H64" s="177"/>
      <c r="I64" s="177"/>
      <c r="J64" s="177"/>
      <c r="K64" s="177"/>
      <c r="L64" s="177"/>
      <c r="M64" s="177"/>
      <c r="N64" s="177"/>
      <c r="O64" s="177"/>
      <c r="P64" s="177"/>
      <c r="Q64" s="177"/>
      <c r="R64" s="177"/>
      <c r="S64" s="177"/>
      <c r="T64" s="177"/>
      <c r="U64" s="177"/>
      <c r="V64" s="89"/>
      <c r="W64" s="89"/>
      <c r="X64" s="182"/>
      <c r="Y64" s="182"/>
      <c r="Z64" s="120"/>
    </row>
    <row r="65" spans="2:26" ht="13.5" x14ac:dyDescent="0.2">
      <c r="B65" s="177"/>
      <c r="C65" s="177"/>
      <c r="D65" s="177"/>
      <c r="E65" s="177"/>
      <c r="F65" s="177"/>
      <c r="G65" s="177"/>
      <c r="H65" s="177"/>
      <c r="I65" s="177"/>
      <c r="J65" s="177"/>
      <c r="K65" s="177"/>
      <c r="L65" s="177"/>
      <c r="M65" s="177"/>
      <c r="N65" s="177"/>
      <c r="O65" s="177"/>
      <c r="P65" s="177"/>
      <c r="Q65" s="177"/>
      <c r="R65" s="177"/>
      <c r="S65" s="177"/>
      <c r="T65" s="177"/>
      <c r="U65" s="177"/>
      <c r="V65" s="182"/>
      <c r="W65" s="182"/>
      <c r="X65" s="182"/>
      <c r="Y65" s="182"/>
      <c r="Z65" s="120"/>
    </row>
    <row r="66" spans="2:26" ht="13.5" x14ac:dyDescent="0.2">
      <c r="B66" s="177"/>
      <c r="C66" s="177"/>
      <c r="D66" s="177"/>
      <c r="E66" s="177"/>
      <c r="F66" s="177"/>
      <c r="G66" s="177"/>
      <c r="H66" s="177"/>
      <c r="I66" s="177"/>
      <c r="J66" s="177"/>
      <c r="K66" s="177"/>
      <c r="L66" s="177"/>
      <c r="M66" s="177"/>
      <c r="N66" s="177"/>
      <c r="O66" s="177"/>
      <c r="P66" s="177"/>
      <c r="Q66" s="177"/>
      <c r="R66" s="177"/>
      <c r="S66" s="177"/>
      <c r="T66" s="177"/>
      <c r="U66" s="177"/>
      <c r="V66" s="182"/>
      <c r="W66" s="182"/>
      <c r="X66" s="182"/>
      <c r="Y66" s="182"/>
      <c r="Z66" s="120"/>
    </row>
    <row r="67" spans="2:26" ht="13.5" x14ac:dyDescent="0.2">
      <c r="B67" s="177"/>
      <c r="C67" s="177"/>
      <c r="D67" s="177"/>
      <c r="E67" s="177"/>
      <c r="F67" s="177"/>
      <c r="G67" s="177"/>
      <c r="H67" s="177"/>
      <c r="I67" s="177"/>
      <c r="J67" s="177"/>
      <c r="K67" s="177"/>
      <c r="L67" s="177"/>
      <c r="M67" s="177"/>
      <c r="N67" s="177"/>
      <c r="O67" s="177"/>
      <c r="P67" s="177"/>
      <c r="Q67" s="177"/>
      <c r="R67" s="177"/>
      <c r="S67" s="177"/>
      <c r="T67" s="177"/>
      <c r="U67" s="177"/>
      <c r="V67" s="182"/>
      <c r="W67" s="182"/>
      <c r="X67" s="182"/>
      <c r="Y67" s="182"/>
      <c r="Z67" s="120"/>
    </row>
    <row r="68" spans="2:26" ht="13.5" x14ac:dyDescent="0.2">
      <c r="B68" s="177"/>
      <c r="C68" s="177"/>
      <c r="D68" s="177"/>
      <c r="E68" s="177"/>
      <c r="F68" s="177"/>
      <c r="G68" s="177"/>
      <c r="H68" s="177"/>
      <c r="I68" s="177"/>
      <c r="J68" s="177"/>
      <c r="K68" s="177"/>
      <c r="L68" s="177"/>
      <c r="M68" s="177"/>
      <c r="N68" s="177"/>
      <c r="O68" s="177"/>
      <c r="P68" s="177"/>
      <c r="Q68" s="177"/>
      <c r="R68" s="177"/>
      <c r="S68" s="177"/>
      <c r="T68" s="177"/>
      <c r="U68" s="177"/>
      <c r="V68" s="182"/>
      <c r="W68" s="182"/>
      <c r="X68" s="182"/>
      <c r="Y68" s="182"/>
      <c r="Z68" s="120"/>
    </row>
    <row r="69" spans="2:26" ht="13.5" x14ac:dyDescent="0.2">
      <c r="B69" s="177"/>
      <c r="C69" s="177"/>
      <c r="D69" s="177"/>
      <c r="E69" s="177"/>
      <c r="F69" s="177"/>
      <c r="G69" s="177"/>
      <c r="H69" s="177"/>
      <c r="I69" s="177"/>
      <c r="J69" s="177"/>
      <c r="K69" s="177"/>
      <c r="L69" s="177"/>
      <c r="M69" s="177"/>
      <c r="N69" s="177"/>
      <c r="O69" s="177"/>
      <c r="P69" s="177"/>
      <c r="Q69" s="177"/>
      <c r="R69" s="177"/>
      <c r="S69" s="177"/>
      <c r="T69" s="177"/>
      <c r="U69" s="177"/>
      <c r="V69" s="182"/>
      <c r="W69" s="182"/>
      <c r="X69" s="182"/>
      <c r="Y69" s="182"/>
      <c r="Z69" s="120"/>
    </row>
    <row r="70" spans="2:26" ht="13.5" x14ac:dyDescent="0.2">
      <c r="B70" s="177"/>
      <c r="C70" s="177"/>
      <c r="D70" s="177"/>
      <c r="E70" s="177"/>
      <c r="F70" s="177"/>
      <c r="G70" s="177"/>
      <c r="H70" s="177"/>
      <c r="I70" s="177"/>
      <c r="J70" s="177"/>
      <c r="K70" s="177"/>
      <c r="L70" s="177"/>
      <c r="M70" s="177"/>
      <c r="N70" s="177"/>
      <c r="O70" s="177"/>
      <c r="P70" s="177"/>
      <c r="Q70" s="177"/>
      <c r="R70" s="177"/>
      <c r="S70" s="177"/>
      <c r="T70" s="177"/>
      <c r="U70" s="177"/>
      <c r="V70" s="177"/>
      <c r="W70" s="177"/>
      <c r="X70" s="177"/>
      <c r="Y70" s="177"/>
    </row>
    <row r="71" spans="2:26" ht="13.5" x14ac:dyDescent="0.2">
      <c r="B71" s="177"/>
      <c r="C71" s="177"/>
      <c r="D71" s="177"/>
      <c r="E71" s="177"/>
      <c r="F71" s="177"/>
      <c r="G71" s="177"/>
      <c r="H71" s="177"/>
      <c r="I71" s="177"/>
      <c r="J71" s="177"/>
      <c r="K71" s="177"/>
      <c r="L71" s="177"/>
      <c r="M71" s="177"/>
      <c r="N71" s="177"/>
      <c r="O71" s="177"/>
      <c r="P71" s="177"/>
      <c r="Q71" s="177"/>
      <c r="R71" s="177"/>
      <c r="S71" s="177"/>
      <c r="T71" s="177"/>
      <c r="U71" s="177"/>
      <c r="V71" s="177"/>
      <c r="W71" s="177"/>
      <c r="X71" s="177"/>
      <c r="Y71" s="177"/>
    </row>
    <row r="72" spans="2:26" ht="13.5" x14ac:dyDescent="0.2">
      <c r="B72" s="177"/>
      <c r="C72" s="177"/>
      <c r="D72" s="177"/>
      <c r="E72" s="177"/>
      <c r="F72" s="177"/>
      <c r="G72" s="177"/>
      <c r="H72" s="177"/>
      <c r="I72" s="177"/>
      <c r="J72" s="177"/>
      <c r="K72" s="177"/>
      <c r="L72" s="177"/>
      <c r="M72" s="177"/>
      <c r="N72" s="177"/>
      <c r="O72" s="177"/>
      <c r="P72" s="177"/>
      <c r="Q72" s="177"/>
      <c r="R72" s="177"/>
      <c r="S72" s="177"/>
      <c r="T72" s="177"/>
      <c r="U72" s="177"/>
      <c r="V72" s="177"/>
      <c r="W72" s="177"/>
      <c r="X72" s="177"/>
      <c r="Y72" s="177"/>
    </row>
    <row r="73" spans="2:26" ht="13.5" x14ac:dyDescent="0.2">
      <c r="B73" s="177"/>
      <c r="C73" s="177"/>
      <c r="D73" s="177"/>
      <c r="E73" s="177"/>
      <c r="F73" s="177"/>
      <c r="G73" s="177"/>
      <c r="H73" s="177"/>
      <c r="I73" s="177"/>
      <c r="J73" s="177"/>
      <c r="K73" s="177"/>
      <c r="L73" s="177"/>
      <c r="M73" s="177"/>
      <c r="N73" s="177"/>
      <c r="O73" s="177"/>
      <c r="P73" s="177"/>
      <c r="Q73" s="177"/>
      <c r="R73" s="177"/>
      <c r="S73" s="177"/>
      <c r="T73" s="177"/>
      <c r="U73" s="177"/>
      <c r="V73" s="177"/>
      <c r="W73" s="177"/>
      <c r="X73" s="177"/>
      <c r="Y73" s="177"/>
    </row>
    <row r="74" spans="2:26" ht="13.5" x14ac:dyDescent="0.2">
      <c r="B74" s="177"/>
      <c r="C74" s="177"/>
      <c r="D74" s="177"/>
      <c r="E74" s="177"/>
      <c r="F74" s="177"/>
      <c r="G74" s="177"/>
      <c r="H74" s="177"/>
      <c r="I74" s="177"/>
      <c r="J74" s="177"/>
      <c r="K74" s="177"/>
      <c r="L74" s="177"/>
      <c r="M74" s="177"/>
      <c r="N74" s="177"/>
      <c r="O74" s="177"/>
      <c r="P74" s="177"/>
      <c r="Q74" s="177"/>
      <c r="R74" s="177"/>
      <c r="S74" s="177"/>
      <c r="T74" s="177"/>
      <c r="U74" s="177"/>
      <c r="V74" s="177"/>
      <c r="W74" s="177"/>
      <c r="X74" s="177"/>
      <c r="Y74" s="177"/>
    </row>
    <row r="75" spans="2:26" ht="13.5" x14ac:dyDescent="0.2">
      <c r="B75" s="177"/>
      <c r="C75" s="177"/>
      <c r="D75" s="177"/>
      <c r="E75" s="177"/>
      <c r="F75" s="177"/>
      <c r="G75" s="177"/>
      <c r="H75" s="177"/>
      <c r="I75" s="177"/>
      <c r="J75" s="177"/>
      <c r="K75" s="177"/>
      <c r="L75" s="177"/>
      <c r="M75" s="177"/>
      <c r="N75" s="177"/>
      <c r="O75" s="177"/>
      <c r="P75" s="177"/>
      <c r="Q75" s="177"/>
      <c r="R75" s="177"/>
      <c r="S75" s="177"/>
      <c r="T75" s="177"/>
      <c r="U75" s="177"/>
      <c r="V75" s="177"/>
      <c r="W75" s="177"/>
      <c r="X75" s="177"/>
      <c r="Y75" s="177"/>
    </row>
    <row r="76" spans="2:26" ht="13.5" x14ac:dyDescent="0.2">
      <c r="B76" s="177"/>
      <c r="C76" s="177"/>
      <c r="D76" s="177"/>
      <c r="E76" s="177"/>
      <c r="F76" s="177"/>
      <c r="G76" s="177"/>
      <c r="H76" s="177"/>
      <c r="I76" s="177"/>
      <c r="J76" s="177"/>
      <c r="K76" s="177"/>
      <c r="L76" s="177"/>
      <c r="M76" s="177"/>
      <c r="N76" s="177"/>
      <c r="O76" s="177"/>
      <c r="P76" s="177"/>
      <c r="Q76" s="177"/>
      <c r="R76" s="177"/>
      <c r="S76" s="177"/>
      <c r="T76" s="177"/>
      <c r="U76" s="177"/>
      <c r="V76" s="177"/>
      <c r="W76" s="177"/>
      <c r="X76" s="177"/>
      <c r="Y76" s="177"/>
    </row>
    <row r="77" spans="2:26" ht="13.5" x14ac:dyDescent="0.2">
      <c r="B77" s="177"/>
      <c r="C77" s="177"/>
      <c r="D77" s="177"/>
      <c r="E77" s="177"/>
      <c r="F77" s="177"/>
      <c r="G77" s="177"/>
      <c r="H77" s="177"/>
      <c r="I77" s="177"/>
      <c r="J77" s="177"/>
      <c r="K77" s="177"/>
      <c r="L77" s="177"/>
      <c r="M77" s="177"/>
      <c r="N77" s="177"/>
      <c r="O77" s="177"/>
      <c r="P77" s="177"/>
      <c r="Q77" s="177"/>
      <c r="R77" s="177"/>
      <c r="S77" s="177"/>
      <c r="T77" s="177"/>
      <c r="U77" s="177"/>
      <c r="V77" s="177"/>
      <c r="W77" s="177"/>
      <c r="X77" s="177"/>
      <c r="Y77" s="177"/>
    </row>
    <row r="78" spans="2:26" ht="13.5" x14ac:dyDescent="0.2">
      <c r="B78" s="177"/>
      <c r="C78" s="177"/>
      <c r="D78" s="177"/>
      <c r="E78" s="177"/>
      <c r="F78" s="177"/>
      <c r="G78" s="177"/>
      <c r="H78" s="177"/>
      <c r="I78" s="177"/>
      <c r="J78" s="177"/>
      <c r="K78" s="177"/>
      <c r="L78" s="177"/>
      <c r="M78" s="177"/>
      <c r="N78" s="177"/>
      <c r="O78" s="177"/>
      <c r="P78" s="177"/>
      <c r="Q78" s="177"/>
      <c r="R78" s="177"/>
      <c r="S78" s="177"/>
      <c r="T78" s="177"/>
      <c r="U78" s="177"/>
      <c r="V78" s="177"/>
      <c r="W78" s="177"/>
      <c r="X78" s="177"/>
      <c r="Y78" s="177"/>
    </row>
    <row r="79" spans="2:26" ht="13.5" x14ac:dyDescent="0.2">
      <c r="B79" s="177"/>
      <c r="C79" s="177"/>
      <c r="D79" s="177"/>
      <c r="E79" s="177"/>
      <c r="F79" s="177"/>
      <c r="G79" s="177"/>
      <c r="H79" s="177"/>
      <c r="I79" s="177"/>
      <c r="J79" s="177"/>
      <c r="K79" s="177"/>
      <c r="L79" s="177"/>
      <c r="M79" s="177"/>
      <c r="N79" s="177"/>
      <c r="O79" s="177"/>
      <c r="P79" s="177"/>
      <c r="Q79" s="177"/>
      <c r="R79" s="177"/>
      <c r="S79" s="177"/>
      <c r="T79" s="177"/>
      <c r="U79" s="177"/>
      <c r="V79" s="177"/>
      <c r="W79" s="177"/>
      <c r="X79" s="177"/>
      <c r="Y79" s="177"/>
    </row>
    <row r="80" spans="2:26" ht="13.5" x14ac:dyDescent="0.2">
      <c r="B80" s="177"/>
      <c r="C80" s="177"/>
      <c r="D80" s="177"/>
      <c r="E80" s="177"/>
      <c r="F80" s="177"/>
      <c r="G80" s="177"/>
      <c r="H80" s="177"/>
      <c r="I80" s="177"/>
      <c r="J80" s="177"/>
      <c r="K80" s="177"/>
      <c r="L80" s="177"/>
      <c r="M80" s="177"/>
      <c r="N80" s="177"/>
      <c r="O80" s="177"/>
      <c r="P80" s="177"/>
      <c r="Q80" s="177"/>
      <c r="R80" s="177"/>
      <c r="S80" s="177"/>
      <c r="T80" s="177"/>
      <c r="U80" s="177"/>
      <c r="V80" s="177"/>
      <c r="W80" s="177"/>
      <c r="X80" s="177"/>
      <c r="Y80" s="177"/>
    </row>
    <row r="81" spans="2:25" ht="13.5" x14ac:dyDescent="0.2">
      <c r="B81" s="177"/>
      <c r="C81" s="177"/>
      <c r="D81" s="177"/>
      <c r="E81" s="177"/>
      <c r="F81" s="177"/>
      <c r="G81" s="177"/>
      <c r="H81" s="177"/>
      <c r="I81" s="177"/>
      <c r="J81" s="177"/>
      <c r="K81" s="177"/>
      <c r="L81" s="177"/>
      <c r="M81" s="177"/>
      <c r="N81" s="177"/>
      <c r="O81" s="177"/>
      <c r="P81" s="177"/>
      <c r="Q81" s="177"/>
      <c r="R81" s="177"/>
      <c r="S81" s="177"/>
      <c r="T81" s="177"/>
      <c r="U81" s="177"/>
      <c r="V81" s="177"/>
      <c r="W81" s="177"/>
      <c r="X81" s="177"/>
      <c r="Y81" s="177"/>
    </row>
    <row r="82" spans="2:25" ht="13.5" x14ac:dyDescent="0.2">
      <c r="B82" s="177"/>
      <c r="C82" s="177"/>
      <c r="D82" s="177"/>
      <c r="E82" s="177"/>
      <c r="F82" s="177"/>
      <c r="G82" s="177"/>
      <c r="H82" s="177"/>
      <c r="I82" s="177"/>
      <c r="J82" s="177"/>
      <c r="K82" s="177"/>
      <c r="L82" s="177"/>
      <c r="M82" s="177"/>
      <c r="N82" s="177"/>
      <c r="O82" s="177"/>
      <c r="P82" s="177"/>
      <c r="Q82" s="177"/>
      <c r="R82" s="177"/>
      <c r="S82" s="177"/>
      <c r="T82" s="177"/>
      <c r="U82" s="177"/>
      <c r="V82" s="177"/>
      <c r="W82" s="177"/>
      <c r="X82" s="177"/>
      <c r="Y82" s="177"/>
    </row>
    <row r="83" spans="2:25" ht="13.5" x14ac:dyDescent="0.2">
      <c r="B83" s="177"/>
      <c r="C83" s="177"/>
      <c r="D83" s="177"/>
      <c r="E83" s="177"/>
      <c r="V83" s="177"/>
      <c r="W83" s="177"/>
      <c r="X83" s="177"/>
      <c r="Y83" s="177"/>
    </row>
    <row r="84" spans="2:25" ht="13.5" x14ac:dyDescent="0.2">
      <c r="V84" s="177"/>
      <c r="W84" s="177"/>
      <c r="X84" s="177"/>
      <c r="Y84" s="177"/>
    </row>
    <row r="85" spans="2:25" ht="13.5" x14ac:dyDescent="0.2">
      <c r="V85" s="177"/>
      <c r="W85" s="177"/>
      <c r="X85" s="177"/>
      <c r="Y85" s="177"/>
    </row>
    <row r="86" spans="2:25" ht="13.5" x14ac:dyDescent="0.2">
      <c r="V86" s="177"/>
      <c r="W86" s="177"/>
      <c r="X86" s="177"/>
      <c r="Y86" s="177"/>
    </row>
    <row r="87" spans="2:25" ht="13.5" x14ac:dyDescent="0.2">
      <c r="V87" s="177"/>
      <c r="W87" s="177"/>
      <c r="X87" s="177"/>
      <c r="Y87" s="177"/>
    </row>
    <row r="88" spans="2:25" ht="13.5" x14ac:dyDescent="0.2">
      <c r="V88" s="177"/>
      <c r="W88" s="177"/>
      <c r="X88" s="177"/>
      <c r="Y88" s="177"/>
    </row>
    <row r="89" spans="2:25" ht="13.5" x14ac:dyDescent="0.2">
      <c r="V89" s="177"/>
      <c r="W89" s="177"/>
      <c r="X89" s="177"/>
      <c r="Y89" s="177"/>
    </row>
    <row r="90" spans="2:25" ht="13.5" x14ac:dyDescent="0.2">
      <c r="V90" s="177"/>
      <c r="W90" s="177"/>
      <c r="X90" s="177"/>
      <c r="Y90" s="177"/>
    </row>
    <row r="91" spans="2:25" ht="13.5" x14ac:dyDescent="0.2">
      <c r="V91" s="177"/>
      <c r="W91" s="177"/>
      <c r="X91" s="177"/>
      <c r="Y91" s="177"/>
    </row>
    <row r="92" spans="2:25" ht="13.5" x14ac:dyDescent="0.2">
      <c r="V92" s="177"/>
      <c r="W92" s="177"/>
      <c r="X92" s="177"/>
      <c r="Y92" s="177"/>
    </row>
    <row r="93" spans="2:25" ht="13.5" x14ac:dyDescent="0.2">
      <c r="V93" s="177"/>
      <c r="W93" s="177"/>
      <c r="X93" s="177"/>
      <c r="Y93" s="177"/>
    </row>
    <row r="94" spans="2:25" ht="13.5" x14ac:dyDescent="0.2">
      <c r="V94" s="177"/>
      <c r="W94" s="177"/>
      <c r="X94" s="177"/>
      <c r="Y94" s="177"/>
    </row>
    <row r="95" spans="2:25" ht="13.5" x14ac:dyDescent="0.2">
      <c r="V95" s="177"/>
      <c r="W95" s="177"/>
      <c r="X95" s="177"/>
      <c r="Y95" s="177"/>
    </row>
    <row r="96" spans="2:25" ht="13.5" x14ac:dyDescent="0.2">
      <c r="V96" s="177"/>
      <c r="W96" s="177"/>
      <c r="X96" s="177"/>
      <c r="Y96" s="177"/>
    </row>
    <row r="97" spans="22:25" ht="13.5" x14ac:dyDescent="0.2">
      <c r="V97" s="177"/>
      <c r="W97" s="177"/>
      <c r="X97" s="177"/>
      <c r="Y97" s="177"/>
    </row>
    <row r="98" spans="22:25" ht="13.5" x14ac:dyDescent="0.2">
      <c r="V98" s="177"/>
      <c r="W98" s="177"/>
      <c r="X98" s="177"/>
      <c r="Y98" s="177"/>
    </row>
    <row r="99" spans="22:25" ht="13.5" x14ac:dyDescent="0.2">
      <c r="V99" s="177"/>
      <c r="W99" s="177"/>
      <c r="X99" s="177"/>
      <c r="Y99" s="177"/>
    </row>
    <row r="100" spans="22:25" ht="13.5" x14ac:dyDescent="0.2">
      <c r="V100" s="177"/>
      <c r="W100" s="177"/>
      <c r="X100" s="177"/>
      <c r="Y100" s="177"/>
    </row>
    <row r="101" spans="22:25" ht="13.5" x14ac:dyDescent="0.2">
      <c r="X101" s="177"/>
      <c r="Y101" s="177"/>
    </row>
  </sheetData>
  <mergeCells count="5">
    <mergeCell ref="P2:Q2"/>
    <mergeCell ref="B24:D24"/>
    <mergeCell ref="B31:B32"/>
    <mergeCell ref="F46:F47"/>
    <mergeCell ref="F48:F49"/>
  </mergeCells>
  <phoneticPr fontId="15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AG112"/>
  <sheetViews>
    <sheetView showGridLines="0" zoomScale="85" zoomScaleNormal="85" workbookViewId="0">
      <selection activeCell="M4" sqref="M4"/>
    </sheetView>
  </sheetViews>
  <sheetFormatPr defaultRowHeight="12.75" x14ac:dyDescent="0.2"/>
  <cols>
    <col min="1" max="1" width="3.5703125" style="65" customWidth="1"/>
    <col min="2" max="2" width="15.5703125" style="65" bestFit="1" customWidth="1"/>
    <col min="3" max="3" width="42" style="65" bestFit="1" customWidth="1"/>
    <col min="4" max="4" width="13.7109375" style="65" bestFit="1" customWidth="1"/>
    <col min="5" max="5" width="19.5703125" style="65" bestFit="1" customWidth="1"/>
    <col min="6" max="6" width="17.85546875" style="65" bestFit="1" customWidth="1"/>
    <col min="7" max="7" width="22" style="65" bestFit="1" customWidth="1"/>
    <col min="8" max="8" width="21.140625" style="65" bestFit="1" customWidth="1"/>
    <col min="9" max="9" width="17.42578125" style="65" customWidth="1"/>
    <col min="10" max="10" width="17.140625" style="65" customWidth="1"/>
    <col min="11" max="12" width="11.5703125" style="65" bestFit="1" customWidth="1"/>
    <col min="13" max="13" width="6.7109375" style="65" bestFit="1" customWidth="1"/>
    <col min="14" max="14" width="7.5703125" style="65" bestFit="1" customWidth="1"/>
    <col min="15" max="15" width="15.42578125" style="65" bestFit="1" customWidth="1"/>
    <col min="16" max="16" width="23.85546875" style="65" bestFit="1" customWidth="1"/>
    <col min="17" max="17" width="17.42578125" style="65" bestFit="1" customWidth="1"/>
    <col min="18" max="18" width="9.140625" style="65" customWidth="1"/>
    <col min="19" max="19" width="9.140625" style="65"/>
    <col min="20" max="20" width="11.85546875" style="65" bestFit="1" customWidth="1"/>
    <col min="21" max="29" width="9.140625" style="65"/>
    <col min="30" max="30" width="18.42578125" style="65" bestFit="1" customWidth="1"/>
    <col min="31" max="32" width="17.85546875" style="65" bestFit="1" customWidth="1"/>
    <col min="33" max="16384" width="9.140625" style="65"/>
  </cols>
  <sheetData>
    <row r="1" spans="2:33" x14ac:dyDescent="0.2">
      <c r="B1" s="66"/>
      <c r="F1" s="144"/>
    </row>
    <row r="2" spans="2:33" ht="16.5" x14ac:dyDescent="0.2">
      <c r="B2" s="67"/>
      <c r="C2" s="68" t="s">
        <v>40</v>
      </c>
      <c r="D2" s="98">
        <v>30000</v>
      </c>
      <c r="E2" s="69"/>
      <c r="F2" s="64"/>
      <c r="G2" s="64"/>
      <c r="H2" s="70"/>
      <c r="I2" s="68"/>
      <c r="J2" s="68"/>
      <c r="K2" s="71"/>
      <c r="L2" s="70"/>
      <c r="M2" s="70"/>
      <c r="N2" s="70"/>
      <c r="O2" s="72" t="s">
        <v>22</v>
      </c>
      <c r="P2" s="593" t="s">
        <v>98</v>
      </c>
      <c r="Q2" s="593"/>
      <c r="R2" s="145" t="s">
        <v>99</v>
      </c>
    </row>
    <row r="3" spans="2:33" ht="18" thickBot="1" x14ac:dyDescent="0.25">
      <c r="B3" s="8" t="s">
        <v>24</v>
      </c>
      <c r="C3" s="8" t="s">
        <v>25</v>
      </c>
      <c r="D3" s="73" t="s">
        <v>26</v>
      </c>
      <c r="E3" s="26" t="s">
        <v>41</v>
      </c>
      <c r="F3" s="11" t="s">
        <v>27</v>
      </c>
      <c r="G3" s="73" t="s">
        <v>28</v>
      </c>
      <c r="H3" s="73" t="s">
        <v>29</v>
      </c>
      <c r="I3" s="73" t="s">
        <v>30</v>
      </c>
      <c r="J3" s="10" t="s">
        <v>31</v>
      </c>
      <c r="K3" s="10" t="s">
        <v>32</v>
      </c>
      <c r="L3" s="10" t="s">
        <v>33</v>
      </c>
      <c r="M3" s="12" t="s">
        <v>34</v>
      </c>
      <c r="N3" s="74" t="s">
        <v>35</v>
      </c>
      <c r="O3" s="74" t="s">
        <v>36</v>
      </c>
      <c r="P3" s="74" t="s">
        <v>97</v>
      </c>
      <c r="Q3" s="74" t="s">
        <v>100</v>
      </c>
      <c r="T3" s="99"/>
      <c r="U3" s="100" t="s">
        <v>89</v>
      </c>
      <c r="Z3" s="271" t="s">
        <v>193</v>
      </c>
      <c r="AA3" s="272"/>
      <c r="AB3" s="272"/>
      <c r="AC3" s="273"/>
      <c r="AD3" s="273"/>
      <c r="AE3" s="274"/>
      <c r="AF3" s="273"/>
      <c r="AG3" s="275"/>
    </row>
    <row r="4" spans="2:33" ht="14.25" thickTop="1" x14ac:dyDescent="0.2">
      <c r="B4" s="75" t="s">
        <v>16</v>
      </c>
      <c r="C4" s="75" t="s">
        <v>17</v>
      </c>
      <c r="D4" s="76">
        <f>F4</f>
        <v>24243.127265602481</v>
      </c>
      <c r="E4" s="77">
        <f>IF(G4&gt;=D4,"0",D4-G4)</f>
        <v>1154.4346316953561</v>
      </c>
      <c r="F4" s="78">
        <f t="shared" ref="F4:F5" si="0">((((H4*K4-J4-L4)*I4)*1000000))/1000000</f>
        <v>24243.127265602481</v>
      </c>
      <c r="G4" s="76">
        <f>((H4*K4-L4-J4)*I4)/(1+N4/100)^M4</f>
        <v>23088.692633907125</v>
      </c>
      <c r="H4" s="79">
        <f>U8*100</f>
        <v>145650</v>
      </c>
      <c r="I4" s="80">
        <f>300/1280</f>
        <v>0.234375</v>
      </c>
      <c r="J4" s="79">
        <v>0</v>
      </c>
      <c r="K4" s="81">
        <f>J39</f>
        <v>0.71374616301489546</v>
      </c>
      <c r="L4" s="79">
        <f>H4*K4*0.5%</f>
        <v>519.78564321559759</v>
      </c>
      <c r="M4" s="82">
        <v>1</v>
      </c>
      <c r="N4" s="83">
        <v>5</v>
      </c>
      <c r="O4" s="84" t="s">
        <v>42</v>
      </c>
      <c r="P4" s="153">
        <f>IF(D4*24%&lt;E4,0,IF(E4/D4&lt;20%,D4*4%,D4*24%-E4))</f>
        <v>969.72509062409927</v>
      </c>
      <c r="Q4" s="153">
        <f>E4+P4</f>
        <v>2124.1597223194553</v>
      </c>
      <c r="T4" s="100" t="s">
        <v>90</v>
      </c>
      <c r="U4" s="101">
        <v>1849</v>
      </c>
      <c r="Z4" s="276">
        <v>1</v>
      </c>
      <c r="AA4" s="272" t="s">
        <v>194</v>
      </c>
      <c r="AB4" s="272" t="s">
        <v>195</v>
      </c>
      <c r="AC4" s="273" t="s">
        <v>196</v>
      </c>
      <c r="AD4" s="273" t="s">
        <v>197</v>
      </c>
      <c r="AE4" s="276" t="s">
        <v>154</v>
      </c>
      <c r="AF4" s="277" t="s">
        <v>198</v>
      </c>
      <c r="AG4" s="278" t="s">
        <v>199</v>
      </c>
    </row>
    <row r="5" spans="2:33" ht="13.5" x14ac:dyDescent="0.2">
      <c r="B5" s="75" t="s">
        <v>16</v>
      </c>
      <c r="C5" s="75" t="s">
        <v>17</v>
      </c>
      <c r="D5" s="85">
        <f>IF(D2&gt;F4,D2-D4,0)</f>
        <v>5756.8727343975188</v>
      </c>
      <c r="E5" s="77">
        <f>D5</f>
        <v>5756.8727343975188</v>
      </c>
      <c r="F5" s="78">
        <f t="shared" si="0"/>
        <v>24243.127265602481</v>
      </c>
      <c r="G5" s="76">
        <f>((H5*K5-L5-J5)*I5)/(1+N5/100)^M5</f>
        <v>23088.692633907125</v>
      </c>
      <c r="H5" s="79">
        <f>H4</f>
        <v>145650</v>
      </c>
      <c r="I5" s="80">
        <f>300/1280</f>
        <v>0.234375</v>
      </c>
      <c r="J5" s="79">
        <v>0</v>
      </c>
      <c r="K5" s="81">
        <f>K4</f>
        <v>0.71374616301489546</v>
      </c>
      <c r="L5" s="79">
        <f>H5*K5*0.5%</f>
        <v>519.78564321559759</v>
      </c>
      <c r="M5" s="82">
        <v>1</v>
      </c>
      <c r="N5" s="83">
        <v>5</v>
      </c>
      <c r="O5" s="84" t="s">
        <v>53</v>
      </c>
      <c r="P5" s="153">
        <f>IF(D5*24%&lt;E5,0,IF(E5/D5&lt;20%,D5*4%,D5*24%-E5))</f>
        <v>0</v>
      </c>
      <c r="Q5" s="153">
        <f>E5+P5</f>
        <v>5756.8727343975188</v>
      </c>
      <c r="T5" s="100" t="s">
        <v>91</v>
      </c>
      <c r="U5" s="101">
        <v>1064</v>
      </c>
      <c r="Z5" s="276">
        <f>Z4+1</f>
        <v>2</v>
      </c>
      <c r="AA5" s="272" t="s">
        <v>200</v>
      </c>
      <c r="AB5" s="272" t="s">
        <v>201</v>
      </c>
      <c r="AC5" s="273">
        <v>938</v>
      </c>
      <c r="AD5" s="273">
        <v>1060000</v>
      </c>
      <c r="AE5" s="279">
        <f>AC5*AD5</f>
        <v>994280000</v>
      </c>
      <c r="AF5" s="273">
        <v>3386180000</v>
      </c>
      <c r="AG5" s="280">
        <f>AE5/AF5</f>
        <v>0.29362880886426596</v>
      </c>
    </row>
    <row r="6" spans="2:33" x14ac:dyDescent="0.2">
      <c r="D6" s="86">
        <f>SUM(D4:D5)</f>
        <v>30000</v>
      </c>
      <c r="E6" s="86">
        <f>SUM(E4:E5)</f>
        <v>6911.3073660928749</v>
      </c>
      <c r="F6" s="88">
        <f>E6/D6</f>
        <v>0.23037691220309583</v>
      </c>
      <c r="Q6" s="86">
        <f>SUM(Q4:Q5)</f>
        <v>7881.0324567169737</v>
      </c>
      <c r="T6" s="100" t="s">
        <v>61</v>
      </c>
      <c r="U6" s="101">
        <f>SUM(U4:U5)</f>
        <v>2913</v>
      </c>
      <c r="Z6" s="276">
        <f>Z5+1</f>
        <v>3</v>
      </c>
      <c r="AA6" s="272" t="s">
        <v>202</v>
      </c>
      <c r="AB6" s="272" t="s">
        <v>203</v>
      </c>
      <c r="AC6" s="273">
        <v>50</v>
      </c>
      <c r="AD6" s="273">
        <v>312100</v>
      </c>
      <c r="AE6" s="279">
        <f t="shared" ref="AE6:AE51" si="1">AC6*AD6</f>
        <v>15605000</v>
      </c>
      <c r="AF6" s="273">
        <v>70000000</v>
      </c>
      <c r="AG6" s="280">
        <f t="shared" ref="AG6:AG14" si="2">AE6/AF6</f>
        <v>0.22292857142857142</v>
      </c>
    </row>
    <row r="7" spans="2:33" x14ac:dyDescent="0.2">
      <c r="E7" s="86"/>
      <c r="T7" s="102" t="s">
        <v>92</v>
      </c>
      <c r="U7" s="103">
        <v>0.5</v>
      </c>
      <c r="V7" s="104" t="s">
        <v>93</v>
      </c>
      <c r="Z7" s="276">
        <f>Z6+1</f>
        <v>4</v>
      </c>
      <c r="AA7" s="272" t="s">
        <v>204</v>
      </c>
      <c r="AB7" s="272" t="s">
        <v>201</v>
      </c>
      <c r="AC7" s="273">
        <v>5995</v>
      </c>
      <c r="AD7" s="273">
        <v>907200</v>
      </c>
      <c r="AE7" s="279">
        <f t="shared" si="1"/>
        <v>5438664000</v>
      </c>
      <c r="AF7" s="273">
        <f>17209750000+1753600000</f>
        <v>18963350000</v>
      </c>
      <c r="AG7" s="280">
        <f t="shared" si="2"/>
        <v>0.2867986932688581</v>
      </c>
    </row>
    <row r="8" spans="2:33" x14ac:dyDescent="0.2">
      <c r="T8" s="104" t="s">
        <v>94</v>
      </c>
      <c r="U8" s="63">
        <f>U6*(1-U7)</f>
        <v>1456.5</v>
      </c>
      <c r="Z8" s="276">
        <f>Z7+1</f>
        <v>5</v>
      </c>
      <c r="AA8" s="272" t="s">
        <v>205</v>
      </c>
      <c r="AB8" s="272" t="s">
        <v>203</v>
      </c>
      <c r="AC8" s="273">
        <v>179</v>
      </c>
      <c r="AD8" s="273">
        <v>196800</v>
      </c>
      <c r="AE8" s="279">
        <f t="shared" si="1"/>
        <v>35227200</v>
      </c>
      <c r="AF8" s="273">
        <v>250600000</v>
      </c>
      <c r="AG8" s="280">
        <f t="shared" si="2"/>
        <v>0.14057142857142857</v>
      </c>
    </row>
    <row r="9" spans="2:33" x14ac:dyDescent="0.2">
      <c r="B9" s="65" t="s">
        <v>54</v>
      </c>
      <c r="G9" s="65" t="s">
        <v>55</v>
      </c>
      <c r="Z9" s="276">
        <f>Z8+1</f>
        <v>6</v>
      </c>
      <c r="AA9" s="272" t="s">
        <v>206</v>
      </c>
      <c r="AB9" s="272" t="s">
        <v>158</v>
      </c>
      <c r="AC9" s="273">
        <v>963</v>
      </c>
      <c r="AD9" s="273">
        <v>964100</v>
      </c>
      <c r="AE9" s="279">
        <f t="shared" si="1"/>
        <v>928428300</v>
      </c>
      <c r="AF9" s="273">
        <v>1511910000</v>
      </c>
      <c r="AG9" s="280">
        <f t="shared" si="2"/>
        <v>0.61407643312101912</v>
      </c>
    </row>
    <row r="10" spans="2:33" x14ac:dyDescent="0.2">
      <c r="Z10" s="276">
        <v>4</v>
      </c>
      <c r="AA10" s="272" t="s">
        <v>207</v>
      </c>
      <c r="AB10" s="272" t="s">
        <v>158</v>
      </c>
      <c r="AC10" s="273">
        <v>745</v>
      </c>
      <c r="AD10" s="273">
        <v>933700</v>
      </c>
      <c r="AE10" s="279">
        <f t="shared" si="1"/>
        <v>695606500</v>
      </c>
      <c r="AF10" s="273">
        <v>2562800000</v>
      </c>
      <c r="AG10" s="280">
        <f t="shared" si="2"/>
        <v>0.27142441860465116</v>
      </c>
    </row>
    <row r="11" spans="2:33" x14ac:dyDescent="0.2">
      <c r="Z11" s="276">
        <f>Z10+1</f>
        <v>5</v>
      </c>
      <c r="AA11" s="272" t="s">
        <v>208</v>
      </c>
      <c r="AB11" s="272" t="s">
        <v>209</v>
      </c>
      <c r="AC11" s="273">
        <v>638</v>
      </c>
      <c r="AD11" s="273">
        <v>886800</v>
      </c>
      <c r="AE11" s="279">
        <f t="shared" si="1"/>
        <v>565778400</v>
      </c>
      <c r="AF11" s="273">
        <v>2347840000</v>
      </c>
      <c r="AG11" s="280">
        <f t="shared" si="2"/>
        <v>0.24097826086956523</v>
      </c>
    </row>
    <row r="12" spans="2:33" x14ac:dyDescent="0.2">
      <c r="Z12" s="276">
        <v>5</v>
      </c>
      <c r="AA12" s="272" t="s">
        <v>155</v>
      </c>
      <c r="AB12" s="272" t="s">
        <v>201</v>
      </c>
      <c r="AC12" s="273">
        <v>128</v>
      </c>
      <c r="AD12" s="273">
        <v>886000</v>
      </c>
      <c r="AE12" s="279">
        <f t="shared" si="1"/>
        <v>113408000</v>
      </c>
      <c r="AF12" s="273">
        <v>175360000</v>
      </c>
      <c r="AG12" s="280">
        <f t="shared" si="2"/>
        <v>0.64671532846715329</v>
      </c>
    </row>
    <row r="13" spans="2:33" x14ac:dyDescent="0.2">
      <c r="Z13" s="276">
        <f>Z12+1</f>
        <v>6</v>
      </c>
      <c r="AA13" s="272" t="s">
        <v>210</v>
      </c>
      <c r="AB13" s="272" t="s">
        <v>201</v>
      </c>
      <c r="AC13" s="273">
        <v>102</v>
      </c>
      <c r="AD13" s="273">
        <v>933700</v>
      </c>
      <c r="AE13" s="279">
        <f t="shared" si="1"/>
        <v>95237400</v>
      </c>
      <c r="AF13" s="273">
        <v>160140000</v>
      </c>
      <c r="AG13" s="280">
        <f t="shared" si="2"/>
        <v>0.59471337579617833</v>
      </c>
    </row>
    <row r="14" spans="2:33" x14ac:dyDescent="0.2">
      <c r="Z14" s="276">
        <v>6</v>
      </c>
      <c r="AA14" s="272" t="s">
        <v>211</v>
      </c>
      <c r="AB14" s="272" t="s">
        <v>158</v>
      </c>
      <c r="AC14" s="273">
        <v>575</v>
      </c>
      <c r="AD14" s="273">
        <v>933700</v>
      </c>
      <c r="AE14" s="279">
        <f t="shared" si="1"/>
        <v>536877500</v>
      </c>
      <c r="AF14" s="273">
        <v>2156250000</v>
      </c>
      <c r="AG14" s="280">
        <f t="shared" si="2"/>
        <v>0.24898666666666666</v>
      </c>
    </row>
    <row r="15" spans="2:33" x14ac:dyDescent="0.2">
      <c r="P15" s="144"/>
      <c r="Z15" s="276">
        <f>Z14+1</f>
        <v>7</v>
      </c>
      <c r="AA15" s="272" t="s">
        <v>212</v>
      </c>
      <c r="AB15" s="272" t="s">
        <v>201</v>
      </c>
      <c r="AC15" s="273">
        <v>2468</v>
      </c>
      <c r="AD15" s="273">
        <v>933700</v>
      </c>
      <c r="AE15" s="279">
        <f t="shared" si="1"/>
        <v>2304371600</v>
      </c>
      <c r="AF15" s="273"/>
      <c r="AG15" s="280"/>
    </row>
    <row r="16" spans="2:33" x14ac:dyDescent="0.2">
      <c r="Z16" s="276">
        <v>7</v>
      </c>
      <c r="AA16" s="272" t="s">
        <v>213</v>
      </c>
      <c r="AB16" s="272" t="s">
        <v>156</v>
      </c>
      <c r="AC16" s="273">
        <v>209</v>
      </c>
      <c r="AD16" s="273">
        <v>196800</v>
      </c>
      <c r="AE16" s="279">
        <f t="shared" si="1"/>
        <v>41131200</v>
      </c>
      <c r="AF16" s="273"/>
      <c r="AG16" s="275"/>
    </row>
    <row r="17" spans="26:33" x14ac:dyDescent="0.2">
      <c r="Z17" s="276">
        <f>Z16+1</f>
        <v>8</v>
      </c>
      <c r="AA17" s="272" t="s">
        <v>214</v>
      </c>
      <c r="AB17" s="272" t="s">
        <v>203</v>
      </c>
      <c r="AC17" s="273">
        <v>40</v>
      </c>
      <c r="AD17" s="273">
        <v>196800</v>
      </c>
      <c r="AE17" s="279">
        <f t="shared" si="1"/>
        <v>7872000</v>
      </c>
      <c r="AF17" s="273"/>
      <c r="AG17" s="275"/>
    </row>
    <row r="18" spans="26:33" x14ac:dyDescent="0.2">
      <c r="Z18" s="276">
        <v>8</v>
      </c>
      <c r="AA18" s="272" t="s">
        <v>215</v>
      </c>
      <c r="AB18" s="272" t="s">
        <v>156</v>
      </c>
      <c r="AC18" s="273">
        <v>485</v>
      </c>
      <c r="AD18" s="273">
        <v>196800</v>
      </c>
      <c r="AE18" s="279">
        <f t="shared" si="1"/>
        <v>95448000</v>
      </c>
      <c r="AF18" s="273"/>
      <c r="AG18" s="275"/>
    </row>
    <row r="19" spans="26:33" x14ac:dyDescent="0.2">
      <c r="Z19" s="276">
        <f>Z18+1</f>
        <v>9</v>
      </c>
      <c r="AA19" s="272" t="s">
        <v>216</v>
      </c>
      <c r="AB19" s="272" t="s">
        <v>158</v>
      </c>
      <c r="AC19" s="273">
        <v>1089</v>
      </c>
      <c r="AD19" s="273">
        <v>886000</v>
      </c>
      <c r="AE19" s="279">
        <f t="shared" si="1"/>
        <v>964854000</v>
      </c>
      <c r="AF19" s="273"/>
      <c r="AG19" s="275"/>
    </row>
    <row r="20" spans="26:33" x14ac:dyDescent="0.2">
      <c r="Z20" s="276">
        <v>9</v>
      </c>
      <c r="AA20" s="272" t="s">
        <v>217</v>
      </c>
      <c r="AB20" s="272" t="s">
        <v>158</v>
      </c>
      <c r="AC20" s="273">
        <v>1987</v>
      </c>
      <c r="AD20" s="273">
        <v>933700</v>
      </c>
      <c r="AE20" s="279">
        <f t="shared" si="1"/>
        <v>1855261900</v>
      </c>
      <c r="AF20" s="273"/>
      <c r="AG20" s="275"/>
    </row>
    <row r="21" spans="26:33" x14ac:dyDescent="0.2">
      <c r="Z21" s="276">
        <f>Z20+1</f>
        <v>10</v>
      </c>
      <c r="AA21" s="272" t="s">
        <v>218</v>
      </c>
      <c r="AB21" s="272" t="s">
        <v>157</v>
      </c>
      <c r="AC21" s="273">
        <v>1630</v>
      </c>
      <c r="AD21" s="273">
        <v>910700</v>
      </c>
      <c r="AE21" s="279">
        <f t="shared" si="1"/>
        <v>1484441000</v>
      </c>
      <c r="AF21" s="273"/>
      <c r="AG21" s="275"/>
    </row>
    <row r="22" spans="26:33" x14ac:dyDescent="0.2">
      <c r="Z22" s="276">
        <v>10</v>
      </c>
      <c r="AA22" s="272" t="s">
        <v>219</v>
      </c>
      <c r="AB22" s="272" t="s">
        <v>220</v>
      </c>
      <c r="AC22" s="273">
        <v>985</v>
      </c>
      <c r="AD22" s="273">
        <v>910700</v>
      </c>
      <c r="AE22" s="279">
        <f t="shared" si="1"/>
        <v>897039500</v>
      </c>
      <c r="AF22" s="273"/>
      <c r="AG22" s="275"/>
    </row>
    <row r="23" spans="26:33" x14ac:dyDescent="0.2">
      <c r="Z23" s="276">
        <f>Z22+1</f>
        <v>11</v>
      </c>
      <c r="AA23" s="272" t="s">
        <v>221</v>
      </c>
      <c r="AB23" s="272" t="s">
        <v>222</v>
      </c>
      <c r="AC23" s="273">
        <v>644</v>
      </c>
      <c r="AD23" s="273">
        <v>817300</v>
      </c>
      <c r="AE23" s="279">
        <f t="shared" si="1"/>
        <v>526341200</v>
      </c>
      <c r="AF23" s="273"/>
      <c r="AG23" s="275"/>
    </row>
    <row r="24" spans="26:33" x14ac:dyDescent="0.2">
      <c r="Z24" s="276">
        <v>11</v>
      </c>
      <c r="AA24" s="272" t="s">
        <v>223</v>
      </c>
      <c r="AB24" s="272" t="s">
        <v>224</v>
      </c>
      <c r="AC24" s="273">
        <v>15</v>
      </c>
      <c r="AD24" s="273">
        <v>365300</v>
      </c>
      <c r="AE24" s="279">
        <f t="shared" si="1"/>
        <v>5479500</v>
      </c>
      <c r="AF24" s="273"/>
      <c r="AG24" s="275"/>
    </row>
    <row r="25" spans="26:33" x14ac:dyDescent="0.2">
      <c r="Z25" s="276">
        <f>Z24+1</f>
        <v>12</v>
      </c>
      <c r="AA25" s="272" t="s">
        <v>225</v>
      </c>
      <c r="AB25" s="272" t="s">
        <v>201</v>
      </c>
      <c r="AC25" s="273">
        <v>45</v>
      </c>
      <c r="AD25" s="273">
        <v>1009000</v>
      </c>
      <c r="AE25" s="279">
        <f t="shared" si="1"/>
        <v>45405000</v>
      </c>
      <c r="AF25" s="273"/>
      <c r="AG25" s="275"/>
    </row>
    <row r="26" spans="26:33" x14ac:dyDescent="0.2">
      <c r="Z26" s="276">
        <v>12</v>
      </c>
      <c r="AA26" s="272" t="s">
        <v>226</v>
      </c>
      <c r="AB26" s="272" t="s">
        <v>224</v>
      </c>
      <c r="AC26" s="273">
        <v>268</v>
      </c>
      <c r="AD26" s="273">
        <v>312100</v>
      </c>
      <c r="AE26" s="279">
        <f t="shared" si="1"/>
        <v>83642800</v>
      </c>
      <c r="AF26" s="273"/>
      <c r="AG26" s="275"/>
    </row>
    <row r="27" spans="26:33" x14ac:dyDescent="0.2">
      <c r="Z27" s="276">
        <f>Z26+1</f>
        <v>13</v>
      </c>
      <c r="AA27" s="272" t="s">
        <v>227</v>
      </c>
      <c r="AB27" s="272" t="s">
        <v>222</v>
      </c>
      <c r="AC27" s="273">
        <v>397</v>
      </c>
      <c r="AD27" s="273">
        <v>1031000</v>
      </c>
      <c r="AE27" s="279">
        <f t="shared" si="1"/>
        <v>409307000</v>
      </c>
      <c r="AF27" s="273"/>
      <c r="AG27" s="275"/>
    </row>
    <row r="28" spans="26:33" x14ac:dyDescent="0.2">
      <c r="Z28" s="276">
        <v>13</v>
      </c>
      <c r="AA28" s="272" t="s">
        <v>228</v>
      </c>
      <c r="AB28" s="272" t="s">
        <v>222</v>
      </c>
      <c r="AC28" s="273">
        <v>170</v>
      </c>
      <c r="AD28" s="273">
        <v>1031000</v>
      </c>
      <c r="AE28" s="279">
        <f t="shared" si="1"/>
        <v>175270000</v>
      </c>
      <c r="AF28" s="273"/>
      <c r="AG28" s="275"/>
    </row>
    <row r="29" spans="26:33" x14ac:dyDescent="0.2">
      <c r="Z29" s="276">
        <f>Z28+1</f>
        <v>14</v>
      </c>
      <c r="AA29" s="272" t="s">
        <v>229</v>
      </c>
      <c r="AB29" s="272" t="s">
        <v>224</v>
      </c>
      <c r="AC29" s="273">
        <v>494</v>
      </c>
      <c r="AD29" s="273">
        <v>312100</v>
      </c>
      <c r="AE29" s="279">
        <f t="shared" si="1"/>
        <v>154177400</v>
      </c>
      <c r="AF29" s="273"/>
      <c r="AG29" s="275"/>
    </row>
    <row r="30" spans="26:33" x14ac:dyDescent="0.2">
      <c r="Z30" s="276">
        <v>14</v>
      </c>
      <c r="AA30" s="272" t="s">
        <v>230</v>
      </c>
      <c r="AB30" s="272" t="s">
        <v>224</v>
      </c>
      <c r="AC30" s="273">
        <v>21</v>
      </c>
      <c r="AD30" s="273">
        <v>312100</v>
      </c>
      <c r="AE30" s="279">
        <f t="shared" si="1"/>
        <v>6554100</v>
      </c>
      <c r="AF30" s="273"/>
      <c r="AG30" s="275"/>
    </row>
    <row r="31" spans="26:33" x14ac:dyDescent="0.2">
      <c r="Z31" s="276">
        <f>Z30+1</f>
        <v>15</v>
      </c>
      <c r="AA31" s="272" t="s">
        <v>231</v>
      </c>
      <c r="AB31" s="272" t="s">
        <v>224</v>
      </c>
      <c r="AC31" s="273">
        <v>168</v>
      </c>
      <c r="AD31" s="273">
        <v>312100</v>
      </c>
      <c r="AE31" s="279">
        <f t="shared" si="1"/>
        <v>52432800</v>
      </c>
      <c r="AF31" s="273"/>
      <c r="AG31" s="275"/>
    </row>
    <row r="32" spans="26:33" x14ac:dyDescent="0.2">
      <c r="Z32" s="276">
        <v>15</v>
      </c>
      <c r="AA32" s="272" t="s">
        <v>232</v>
      </c>
      <c r="AB32" s="272" t="s">
        <v>233</v>
      </c>
      <c r="AC32" s="273">
        <v>715</v>
      </c>
      <c r="AD32" s="273">
        <v>843900</v>
      </c>
      <c r="AE32" s="279">
        <f t="shared" si="1"/>
        <v>603388500</v>
      </c>
      <c r="AF32" s="273"/>
      <c r="AG32" s="275"/>
    </row>
    <row r="33" spans="7:33" ht="13.5" thickBot="1" x14ac:dyDescent="0.25">
      <c r="Z33" s="276">
        <f>Z32+1</f>
        <v>16</v>
      </c>
      <c r="AA33" s="272" t="s">
        <v>234</v>
      </c>
      <c r="AB33" s="272" t="s">
        <v>209</v>
      </c>
      <c r="AC33" s="273">
        <v>1117</v>
      </c>
      <c r="AD33" s="273">
        <v>192700</v>
      </c>
      <c r="AE33" s="279">
        <f t="shared" si="1"/>
        <v>215245900</v>
      </c>
      <c r="AF33" s="273"/>
      <c r="AG33" s="275"/>
    </row>
    <row r="34" spans="7:33" x14ac:dyDescent="0.2">
      <c r="G34" s="231" t="s">
        <v>125</v>
      </c>
      <c r="H34" s="232" t="s">
        <v>126</v>
      </c>
      <c r="I34" s="232" t="s">
        <v>127</v>
      </c>
      <c r="J34" s="233" t="s">
        <v>128</v>
      </c>
      <c r="Z34" s="276">
        <v>16</v>
      </c>
      <c r="AA34" s="272" t="s">
        <v>235</v>
      </c>
      <c r="AB34" s="272" t="s">
        <v>236</v>
      </c>
      <c r="AC34" s="273">
        <v>666</v>
      </c>
      <c r="AD34" s="273">
        <v>776500</v>
      </c>
      <c r="AE34" s="279">
        <f t="shared" si="1"/>
        <v>517149000</v>
      </c>
      <c r="AF34" s="273"/>
      <c r="AG34" s="275"/>
    </row>
    <row r="35" spans="7:33" x14ac:dyDescent="0.2">
      <c r="G35" s="234" t="s">
        <v>129</v>
      </c>
      <c r="H35" s="235">
        <v>0.76300000000000001</v>
      </c>
      <c r="I35" s="236">
        <v>0.25017673353130376</v>
      </c>
      <c r="J35" s="237">
        <f>H35*I35</f>
        <v>0.19088484768438477</v>
      </c>
      <c r="Z35" s="276">
        <f>Z34+1</f>
        <v>17</v>
      </c>
      <c r="AA35" s="272" t="s">
        <v>237</v>
      </c>
      <c r="AB35" s="272" t="s">
        <v>236</v>
      </c>
      <c r="AC35" s="273">
        <v>2579</v>
      </c>
      <c r="AD35" s="273">
        <v>171400</v>
      </c>
      <c r="AE35" s="279">
        <f t="shared" si="1"/>
        <v>442040600</v>
      </c>
      <c r="AF35" s="273"/>
      <c r="AG35" s="275"/>
    </row>
    <row r="36" spans="7:33" x14ac:dyDescent="0.2">
      <c r="G36" s="234" t="s">
        <v>130</v>
      </c>
      <c r="H36" s="235">
        <v>0.41599999999999998</v>
      </c>
      <c r="I36" s="236">
        <v>3.5974610996777116E-2</v>
      </c>
      <c r="J36" s="237">
        <f>H36*I36</f>
        <v>1.4965438174659279E-2</v>
      </c>
      <c r="Z36" s="276">
        <v>17</v>
      </c>
      <c r="AA36" s="272" t="s">
        <v>238</v>
      </c>
      <c r="AB36" s="272" t="s">
        <v>222</v>
      </c>
      <c r="AC36" s="273">
        <v>849</v>
      </c>
      <c r="AD36" s="273">
        <v>1031000</v>
      </c>
      <c r="AE36" s="279">
        <f t="shared" si="1"/>
        <v>875319000</v>
      </c>
      <c r="AF36" s="273"/>
      <c r="AG36" s="275"/>
    </row>
    <row r="37" spans="7:33" x14ac:dyDescent="0.2">
      <c r="G37" s="234" t="s">
        <v>131</v>
      </c>
      <c r="H37" s="235">
        <v>0.75800000000000001</v>
      </c>
      <c r="I37" s="238">
        <v>0.54531361135078549</v>
      </c>
      <c r="J37" s="237">
        <f t="shared" ref="J37:J38" si="3">H37*I37</f>
        <v>0.41334771740389542</v>
      </c>
      <c r="Z37" s="276">
        <f>Z36+1</f>
        <v>18</v>
      </c>
      <c r="AA37" s="272" t="s">
        <v>239</v>
      </c>
      <c r="AB37" s="272" t="s">
        <v>224</v>
      </c>
      <c r="AC37" s="273">
        <v>44</v>
      </c>
      <c r="AD37" s="273">
        <v>312100</v>
      </c>
      <c r="AE37" s="279">
        <f t="shared" si="1"/>
        <v>13732400</v>
      </c>
      <c r="AF37" s="273"/>
      <c r="AG37" s="275"/>
    </row>
    <row r="38" spans="7:33" x14ac:dyDescent="0.2">
      <c r="G38" s="234" t="s">
        <v>132</v>
      </c>
      <c r="H38" s="235">
        <v>0.56100000000000005</v>
      </c>
      <c r="I38" s="238">
        <v>0.16853504412113363</v>
      </c>
      <c r="J38" s="237">
        <f t="shared" si="3"/>
        <v>9.4548159751955976E-2</v>
      </c>
      <c r="Z38" s="276">
        <v>18</v>
      </c>
      <c r="AA38" s="272" t="s">
        <v>240</v>
      </c>
      <c r="AB38" s="272" t="s">
        <v>222</v>
      </c>
      <c r="AC38" s="273">
        <v>1346</v>
      </c>
      <c r="AD38" s="273">
        <v>1083000</v>
      </c>
      <c r="AE38" s="279">
        <f t="shared" si="1"/>
        <v>1457718000</v>
      </c>
      <c r="AF38" s="273"/>
      <c r="AG38" s="275"/>
    </row>
    <row r="39" spans="7:33" ht="13.5" thickBot="1" x14ac:dyDescent="0.25">
      <c r="G39" s="239"/>
      <c r="H39" s="240"/>
      <c r="I39" s="240"/>
      <c r="J39" s="241">
        <f>SUM(J35:J38)</f>
        <v>0.71374616301489546</v>
      </c>
      <c r="Z39" s="276">
        <f>Z38+1</f>
        <v>19</v>
      </c>
      <c r="AA39" s="272" t="s">
        <v>241</v>
      </c>
      <c r="AB39" s="272" t="s">
        <v>236</v>
      </c>
      <c r="AC39" s="273">
        <v>340</v>
      </c>
      <c r="AD39" s="273">
        <v>781700</v>
      </c>
      <c r="AE39" s="279">
        <f t="shared" si="1"/>
        <v>265778000</v>
      </c>
      <c r="AF39" s="273"/>
      <c r="AG39" s="275"/>
    </row>
    <row r="40" spans="7:33" x14ac:dyDescent="0.2">
      <c r="Z40" s="276">
        <v>19</v>
      </c>
      <c r="AA40" s="272" t="s">
        <v>242</v>
      </c>
      <c r="AB40" s="272" t="s">
        <v>222</v>
      </c>
      <c r="AC40" s="273">
        <v>1176</v>
      </c>
      <c r="AD40" s="273">
        <v>1083000</v>
      </c>
      <c r="AE40" s="279">
        <f t="shared" si="1"/>
        <v>1273608000</v>
      </c>
      <c r="AF40" s="273"/>
      <c r="AG40" s="275"/>
    </row>
    <row r="41" spans="7:33" x14ac:dyDescent="0.2">
      <c r="Z41" s="276">
        <f>Z40+1</f>
        <v>20</v>
      </c>
      <c r="AA41" s="272" t="s">
        <v>243</v>
      </c>
      <c r="AB41" s="272" t="s">
        <v>224</v>
      </c>
      <c r="AC41" s="273">
        <v>281</v>
      </c>
      <c r="AD41" s="273">
        <v>312100</v>
      </c>
      <c r="AE41" s="279">
        <f t="shared" si="1"/>
        <v>87700100</v>
      </c>
      <c r="AF41" s="273"/>
      <c r="AG41" s="275"/>
    </row>
    <row r="42" spans="7:33" x14ac:dyDescent="0.2">
      <c r="Z42" s="276">
        <v>20</v>
      </c>
      <c r="AA42" s="272" t="s">
        <v>244</v>
      </c>
      <c r="AB42" s="272" t="s">
        <v>236</v>
      </c>
      <c r="AC42" s="273">
        <v>24</v>
      </c>
      <c r="AD42" s="273">
        <v>781700</v>
      </c>
      <c r="AE42" s="279">
        <f t="shared" si="1"/>
        <v>18760800</v>
      </c>
      <c r="AF42" s="273"/>
      <c r="AG42" s="275"/>
    </row>
    <row r="43" spans="7:33" x14ac:dyDescent="0.2">
      <c r="Z43" s="276">
        <f>Z42+1</f>
        <v>21</v>
      </c>
      <c r="AA43" s="272" t="s">
        <v>245</v>
      </c>
      <c r="AB43" s="272" t="s">
        <v>222</v>
      </c>
      <c r="AC43" s="273">
        <v>606</v>
      </c>
      <c r="AD43" s="273">
        <v>870800</v>
      </c>
      <c r="AE43" s="279">
        <f t="shared" si="1"/>
        <v>527704800</v>
      </c>
      <c r="AF43" s="273"/>
      <c r="AG43" s="275"/>
    </row>
    <row r="44" spans="7:33" x14ac:dyDescent="0.2">
      <c r="Z44" s="276">
        <v>21</v>
      </c>
      <c r="AA44" s="272" t="s">
        <v>246</v>
      </c>
      <c r="AB44" s="272" t="s">
        <v>224</v>
      </c>
      <c r="AC44" s="273">
        <v>52</v>
      </c>
      <c r="AD44" s="273">
        <v>312100</v>
      </c>
      <c r="AE44" s="279">
        <f t="shared" si="1"/>
        <v>16229200</v>
      </c>
      <c r="AF44" s="273"/>
      <c r="AG44" s="275"/>
    </row>
    <row r="45" spans="7:33" x14ac:dyDescent="0.2">
      <c r="Z45" s="276">
        <f>Z44+1</f>
        <v>22</v>
      </c>
      <c r="AA45" s="272" t="s">
        <v>247</v>
      </c>
      <c r="AB45" s="272" t="s">
        <v>248</v>
      </c>
      <c r="AC45" s="273">
        <v>4095.7</v>
      </c>
      <c r="AD45" s="273">
        <v>955400</v>
      </c>
      <c r="AE45" s="279">
        <f t="shared" si="1"/>
        <v>3913031780</v>
      </c>
      <c r="AF45" s="273"/>
      <c r="AG45" s="275"/>
    </row>
    <row r="46" spans="7:33" x14ac:dyDescent="0.2">
      <c r="Z46" s="276">
        <v>22</v>
      </c>
      <c r="AA46" s="272" t="s">
        <v>249</v>
      </c>
      <c r="AB46" s="272" t="s">
        <v>224</v>
      </c>
      <c r="AC46" s="273">
        <v>190</v>
      </c>
      <c r="AD46" s="273">
        <v>312100</v>
      </c>
      <c r="AE46" s="279">
        <f t="shared" si="1"/>
        <v>59299000</v>
      </c>
      <c r="AF46" s="273"/>
      <c r="AG46" s="275"/>
    </row>
    <row r="47" spans="7:33" x14ac:dyDescent="0.2">
      <c r="Z47" s="276">
        <f>Z46+1</f>
        <v>23</v>
      </c>
      <c r="AA47" s="272" t="s">
        <v>250</v>
      </c>
      <c r="AB47" s="272" t="s">
        <v>203</v>
      </c>
      <c r="AC47" s="273">
        <v>49</v>
      </c>
      <c r="AD47" s="273">
        <v>312100</v>
      </c>
      <c r="AE47" s="279">
        <f t="shared" si="1"/>
        <v>15292900</v>
      </c>
      <c r="AF47" s="273"/>
      <c r="AG47" s="275"/>
    </row>
    <row r="48" spans="7:33" x14ac:dyDescent="0.2">
      <c r="Z48" s="276">
        <v>23</v>
      </c>
      <c r="AA48" s="272" t="s">
        <v>251</v>
      </c>
      <c r="AB48" s="272" t="s">
        <v>203</v>
      </c>
      <c r="AC48" s="273">
        <v>241</v>
      </c>
      <c r="AD48" s="273">
        <v>312100</v>
      </c>
      <c r="AE48" s="279">
        <f t="shared" si="1"/>
        <v>75216100</v>
      </c>
      <c r="AF48" s="273"/>
      <c r="AG48" s="275"/>
    </row>
    <row r="49" spans="26:33" x14ac:dyDescent="0.2">
      <c r="Z49" s="276">
        <f>Z48+1</f>
        <v>24</v>
      </c>
      <c r="AA49" s="272" t="s">
        <v>252</v>
      </c>
      <c r="AB49" s="272" t="s">
        <v>224</v>
      </c>
      <c r="AC49" s="273">
        <v>99</v>
      </c>
      <c r="AD49" s="273">
        <v>196800</v>
      </c>
      <c r="AE49" s="279">
        <f t="shared" si="1"/>
        <v>19483200</v>
      </c>
      <c r="AF49" s="273"/>
      <c r="AG49" s="275"/>
    </row>
    <row r="50" spans="26:33" x14ac:dyDescent="0.2">
      <c r="Z50" s="276">
        <v>24</v>
      </c>
      <c r="AA50" s="272" t="s">
        <v>253</v>
      </c>
      <c r="AB50" s="272" t="s">
        <v>233</v>
      </c>
      <c r="AC50" s="273">
        <v>853</v>
      </c>
      <c r="AD50" s="273">
        <v>199700</v>
      </c>
      <c r="AE50" s="279">
        <f t="shared" si="1"/>
        <v>170344100</v>
      </c>
      <c r="AF50" s="273"/>
      <c r="AG50" s="275"/>
    </row>
    <row r="51" spans="26:33" x14ac:dyDescent="0.2">
      <c r="Z51" s="276">
        <f>Z50+1</f>
        <v>25</v>
      </c>
      <c r="AA51" s="272" t="s">
        <v>254</v>
      </c>
      <c r="AB51" s="272" t="s">
        <v>224</v>
      </c>
      <c r="AC51" s="273">
        <v>143</v>
      </c>
      <c r="AD51" s="273">
        <v>196800</v>
      </c>
      <c r="AE51" s="279">
        <f t="shared" si="1"/>
        <v>28142400</v>
      </c>
      <c r="AF51" s="273"/>
      <c r="AG51" s="275"/>
    </row>
    <row r="52" spans="26:33" x14ac:dyDescent="0.2">
      <c r="Z52" s="594" t="s">
        <v>255</v>
      </c>
      <c r="AA52" s="594"/>
      <c r="AB52" s="594"/>
      <c r="AC52" s="281">
        <f>SUM(AC5:AC51)</f>
        <v>36893.699999999997</v>
      </c>
      <c r="AD52" s="282"/>
      <c r="AE52" s="281">
        <f>SUM(AE5:AE51)</f>
        <v>29123325080</v>
      </c>
      <c r="AF52" s="283">
        <v>106437036000</v>
      </c>
      <c r="AG52" s="284">
        <f>AE52/AF52</f>
        <v>0.27362021881180532</v>
      </c>
    </row>
    <row r="53" spans="26:33" x14ac:dyDescent="0.2">
      <c r="Z53" s="271" t="s">
        <v>256</v>
      </c>
      <c r="AA53" s="272"/>
      <c r="AB53" s="272"/>
      <c r="AC53" s="273"/>
      <c r="AD53" s="273"/>
      <c r="AE53" s="274"/>
      <c r="AF53" s="273"/>
      <c r="AG53" s="275"/>
    </row>
    <row r="54" spans="26:33" x14ac:dyDescent="0.2">
      <c r="Z54" s="276">
        <f>Z51+1</f>
        <v>26</v>
      </c>
      <c r="AA54" s="272" t="s">
        <v>257</v>
      </c>
      <c r="AB54" s="272" t="s">
        <v>258</v>
      </c>
      <c r="AC54" s="273">
        <v>450</v>
      </c>
      <c r="AD54" s="273">
        <v>361800</v>
      </c>
      <c r="AE54" s="279">
        <f>AC54*AD54</f>
        <v>162810000</v>
      </c>
      <c r="AF54" s="273">
        <v>1422000000</v>
      </c>
      <c r="AG54" s="285">
        <f>AE54/AF54</f>
        <v>0.11449367088607595</v>
      </c>
    </row>
    <row r="55" spans="26:33" x14ac:dyDescent="0.2">
      <c r="Z55" s="276">
        <f>Z54+1</f>
        <v>27</v>
      </c>
      <c r="AA55" s="272" t="s">
        <v>259</v>
      </c>
      <c r="AB55" s="272" t="s">
        <v>260</v>
      </c>
      <c r="AC55" s="273">
        <v>513</v>
      </c>
      <c r="AD55" s="273">
        <v>391600</v>
      </c>
      <c r="AE55" s="279">
        <f t="shared" ref="AE55:AE106" si="4">AC55*AD55</f>
        <v>200890800</v>
      </c>
      <c r="AF55" s="273">
        <v>1764720000</v>
      </c>
      <c r="AG55" s="285">
        <f>AE55/AF55</f>
        <v>0.11383720930232558</v>
      </c>
    </row>
    <row r="56" spans="26:33" x14ac:dyDescent="0.2">
      <c r="Z56" s="276">
        <f t="shared" ref="Z56:Z106" si="5">Z55+1</f>
        <v>28</v>
      </c>
      <c r="AA56" s="272" t="s">
        <v>261</v>
      </c>
      <c r="AB56" s="272" t="s">
        <v>260</v>
      </c>
      <c r="AC56" s="273">
        <v>3418</v>
      </c>
      <c r="AD56" s="273">
        <v>385200</v>
      </c>
      <c r="AE56" s="279">
        <f t="shared" si="4"/>
        <v>1316613600</v>
      </c>
      <c r="AF56" s="273">
        <v>12578240000</v>
      </c>
      <c r="AG56" s="285">
        <f>AE56/AF56</f>
        <v>0.10467391304347826</v>
      </c>
    </row>
    <row r="57" spans="26:33" x14ac:dyDescent="0.2">
      <c r="Z57" s="276">
        <f t="shared" si="5"/>
        <v>29</v>
      </c>
      <c r="AA57" s="272" t="s">
        <v>262</v>
      </c>
      <c r="AB57" s="272" t="s">
        <v>260</v>
      </c>
      <c r="AC57" s="273">
        <v>1855</v>
      </c>
      <c r="AD57" s="273">
        <v>337900</v>
      </c>
      <c r="AE57" s="279">
        <f t="shared" si="4"/>
        <v>626804500</v>
      </c>
      <c r="AF57" s="273">
        <v>6473950000</v>
      </c>
      <c r="AG57" s="285">
        <f t="shared" ref="AG57:AG63" si="6">AE57/AF57</f>
        <v>9.6819484240687675E-2</v>
      </c>
    </row>
    <row r="58" spans="26:33" x14ac:dyDescent="0.2">
      <c r="Z58" s="276">
        <f t="shared" si="5"/>
        <v>30</v>
      </c>
      <c r="AA58" s="272" t="s">
        <v>263</v>
      </c>
      <c r="AB58" s="272" t="s">
        <v>260</v>
      </c>
      <c r="AC58" s="273">
        <v>2370</v>
      </c>
      <c r="AD58" s="273">
        <v>351400</v>
      </c>
      <c r="AE58" s="279">
        <f t="shared" si="4"/>
        <v>832818000</v>
      </c>
      <c r="AF58" s="273">
        <v>8271300000</v>
      </c>
      <c r="AG58" s="285">
        <f t="shared" si="6"/>
        <v>0.10068767908309456</v>
      </c>
    </row>
    <row r="59" spans="26:33" x14ac:dyDescent="0.2">
      <c r="Z59" s="276">
        <f t="shared" si="5"/>
        <v>31</v>
      </c>
      <c r="AA59" s="272" t="s">
        <v>264</v>
      </c>
      <c r="AB59" s="272" t="s">
        <v>260</v>
      </c>
      <c r="AC59" s="273">
        <v>516</v>
      </c>
      <c r="AD59" s="273">
        <v>351400</v>
      </c>
      <c r="AE59" s="279">
        <f t="shared" si="4"/>
        <v>181322400</v>
      </c>
      <c r="AF59" s="273">
        <v>1800840000</v>
      </c>
      <c r="AG59" s="285">
        <f t="shared" si="6"/>
        <v>0.10068767908309456</v>
      </c>
    </row>
    <row r="60" spans="26:33" x14ac:dyDescent="0.2">
      <c r="Z60" s="276">
        <f t="shared" si="5"/>
        <v>32</v>
      </c>
      <c r="AA60" s="272" t="s">
        <v>265</v>
      </c>
      <c r="AB60" s="272" t="s">
        <v>260</v>
      </c>
      <c r="AC60" s="273">
        <v>1091</v>
      </c>
      <c r="AD60" s="273">
        <v>337900</v>
      </c>
      <c r="AE60" s="279">
        <f t="shared" si="4"/>
        <v>368648900</v>
      </c>
      <c r="AF60" s="273">
        <v>3807590000</v>
      </c>
      <c r="AG60" s="285">
        <f t="shared" si="6"/>
        <v>9.6819484240687675E-2</v>
      </c>
    </row>
    <row r="61" spans="26:33" x14ac:dyDescent="0.2">
      <c r="Z61" s="276">
        <f t="shared" si="5"/>
        <v>33</v>
      </c>
      <c r="AA61" s="272" t="s">
        <v>266</v>
      </c>
      <c r="AB61" s="272" t="s">
        <v>161</v>
      </c>
      <c r="AC61" s="273">
        <v>2377</v>
      </c>
      <c r="AD61" s="273">
        <v>334500</v>
      </c>
      <c r="AE61" s="279">
        <f t="shared" si="4"/>
        <v>795106500</v>
      </c>
      <c r="AF61" s="273">
        <f>4976740000+832125000</f>
        <v>5808865000</v>
      </c>
      <c r="AG61" s="285">
        <f t="shared" si="6"/>
        <v>0.13687811646509257</v>
      </c>
    </row>
    <row r="62" spans="26:33" x14ac:dyDescent="0.2">
      <c r="Z62" s="276">
        <f t="shared" si="5"/>
        <v>34</v>
      </c>
      <c r="AA62" s="272" t="s">
        <v>162</v>
      </c>
      <c r="AB62" s="272" t="s">
        <v>161</v>
      </c>
      <c r="AC62" s="273">
        <v>2570</v>
      </c>
      <c r="AD62" s="273">
        <v>351400</v>
      </c>
      <c r="AE62" s="279">
        <f t="shared" si="4"/>
        <v>903098000</v>
      </c>
      <c r="AF62" s="273">
        <v>8969300000</v>
      </c>
      <c r="AG62" s="285">
        <f t="shared" si="6"/>
        <v>0.10068767908309456</v>
      </c>
    </row>
    <row r="63" spans="26:33" x14ac:dyDescent="0.2">
      <c r="Z63" s="276">
        <f t="shared" si="5"/>
        <v>35</v>
      </c>
      <c r="AA63" s="272" t="s">
        <v>267</v>
      </c>
      <c r="AB63" s="272" t="s">
        <v>268</v>
      </c>
      <c r="AC63" s="273">
        <v>10025</v>
      </c>
      <c r="AD63" s="273">
        <v>563100</v>
      </c>
      <c r="AE63" s="279">
        <f t="shared" si="4"/>
        <v>5645077500</v>
      </c>
      <c r="AF63" s="273">
        <f>36082400000+203060000</f>
        <v>36285460000</v>
      </c>
      <c r="AG63" s="285">
        <f t="shared" si="6"/>
        <v>0.15557409221214227</v>
      </c>
    </row>
    <row r="64" spans="26:33" x14ac:dyDescent="0.2">
      <c r="Z64" s="276">
        <f t="shared" si="5"/>
        <v>36</v>
      </c>
      <c r="AA64" s="272" t="s">
        <v>163</v>
      </c>
      <c r="AB64" s="272" t="s">
        <v>268</v>
      </c>
      <c r="AC64" s="273">
        <v>1587</v>
      </c>
      <c r="AD64" s="273">
        <v>489200</v>
      </c>
      <c r="AE64" s="279">
        <f t="shared" si="4"/>
        <v>776360400</v>
      </c>
      <c r="AF64" s="273"/>
      <c r="AG64" s="275"/>
    </row>
    <row r="65" spans="26:33" x14ac:dyDescent="0.2">
      <c r="Z65" s="276">
        <f t="shared" si="5"/>
        <v>37</v>
      </c>
      <c r="AA65" s="272" t="s">
        <v>269</v>
      </c>
      <c r="AB65" s="272" t="s">
        <v>258</v>
      </c>
      <c r="AC65" s="273">
        <v>1266</v>
      </c>
      <c r="AD65" s="273">
        <v>485600</v>
      </c>
      <c r="AE65" s="279">
        <f t="shared" si="4"/>
        <v>614769600</v>
      </c>
      <c r="AF65" s="273"/>
      <c r="AG65" s="275"/>
    </row>
    <row r="66" spans="26:33" x14ac:dyDescent="0.2">
      <c r="Z66" s="276">
        <f t="shared" si="5"/>
        <v>38</v>
      </c>
      <c r="AA66" s="272" t="s">
        <v>270</v>
      </c>
      <c r="AB66" s="272" t="s">
        <v>260</v>
      </c>
      <c r="AC66" s="273">
        <v>293</v>
      </c>
      <c r="AD66" s="273">
        <v>337900</v>
      </c>
      <c r="AE66" s="279">
        <f t="shared" si="4"/>
        <v>99004700</v>
      </c>
      <c r="AF66" s="273"/>
      <c r="AG66" s="275"/>
    </row>
    <row r="67" spans="26:33" x14ac:dyDescent="0.2">
      <c r="Z67" s="276">
        <f t="shared" si="5"/>
        <v>39</v>
      </c>
      <c r="AA67" s="272" t="s">
        <v>165</v>
      </c>
      <c r="AB67" s="272" t="s">
        <v>260</v>
      </c>
      <c r="AC67" s="273">
        <v>1878</v>
      </c>
      <c r="AD67" s="273">
        <v>337900</v>
      </c>
      <c r="AE67" s="279">
        <f t="shared" si="4"/>
        <v>634576200</v>
      </c>
      <c r="AF67" s="273"/>
      <c r="AG67" s="275"/>
    </row>
    <row r="68" spans="26:33" x14ac:dyDescent="0.2">
      <c r="Z68" s="276">
        <f t="shared" si="5"/>
        <v>40</v>
      </c>
      <c r="AA68" s="272" t="s">
        <v>271</v>
      </c>
      <c r="AB68" s="272" t="s">
        <v>158</v>
      </c>
      <c r="AC68" s="273">
        <v>669</v>
      </c>
      <c r="AD68" s="273">
        <v>798300</v>
      </c>
      <c r="AE68" s="279">
        <f t="shared" si="4"/>
        <v>534062700</v>
      </c>
      <c r="AF68" s="273"/>
      <c r="AG68" s="275"/>
    </row>
    <row r="69" spans="26:33" x14ac:dyDescent="0.2">
      <c r="Z69" s="276">
        <f t="shared" si="5"/>
        <v>41</v>
      </c>
      <c r="AA69" s="272" t="s">
        <v>272</v>
      </c>
      <c r="AB69" s="272" t="s">
        <v>273</v>
      </c>
      <c r="AC69" s="273">
        <v>200</v>
      </c>
      <c r="AD69" s="273">
        <v>487200</v>
      </c>
      <c r="AE69" s="279">
        <f t="shared" si="4"/>
        <v>97440000</v>
      </c>
      <c r="AF69" s="273"/>
      <c r="AG69" s="275"/>
    </row>
    <row r="70" spans="26:33" x14ac:dyDescent="0.2">
      <c r="Z70" s="276">
        <f t="shared" si="5"/>
        <v>42</v>
      </c>
      <c r="AA70" s="272" t="s">
        <v>274</v>
      </c>
      <c r="AB70" s="272" t="s">
        <v>275</v>
      </c>
      <c r="AC70" s="273">
        <v>1055</v>
      </c>
      <c r="AD70" s="273">
        <v>489200</v>
      </c>
      <c r="AE70" s="279">
        <f t="shared" si="4"/>
        <v>516106000</v>
      </c>
      <c r="AF70" s="273"/>
      <c r="AG70" s="275"/>
    </row>
    <row r="71" spans="26:33" x14ac:dyDescent="0.2">
      <c r="Z71" s="276">
        <f t="shared" si="5"/>
        <v>43</v>
      </c>
      <c r="AA71" s="272" t="s">
        <v>166</v>
      </c>
      <c r="AB71" s="272" t="s">
        <v>164</v>
      </c>
      <c r="AC71" s="273">
        <v>1263</v>
      </c>
      <c r="AD71" s="273">
        <v>427400</v>
      </c>
      <c r="AE71" s="279">
        <f t="shared" si="4"/>
        <v>539806200</v>
      </c>
      <c r="AF71" s="273"/>
      <c r="AG71" s="275"/>
    </row>
    <row r="72" spans="26:33" x14ac:dyDescent="0.2">
      <c r="Z72" s="276">
        <f t="shared" si="5"/>
        <v>44</v>
      </c>
      <c r="AA72" s="272" t="s">
        <v>276</v>
      </c>
      <c r="AB72" s="272" t="s">
        <v>161</v>
      </c>
      <c r="AC72" s="273">
        <v>261</v>
      </c>
      <c r="AD72" s="273">
        <v>334500</v>
      </c>
      <c r="AE72" s="279">
        <f t="shared" si="4"/>
        <v>87304500</v>
      </c>
      <c r="AF72" s="273"/>
      <c r="AG72" s="275"/>
    </row>
    <row r="73" spans="26:33" x14ac:dyDescent="0.2">
      <c r="Z73" s="276">
        <f t="shared" si="5"/>
        <v>45</v>
      </c>
      <c r="AA73" s="272" t="s">
        <v>167</v>
      </c>
      <c r="AB73" s="272" t="s">
        <v>260</v>
      </c>
      <c r="AC73" s="273">
        <v>879</v>
      </c>
      <c r="AD73" s="273">
        <v>427400</v>
      </c>
      <c r="AE73" s="279">
        <f t="shared" si="4"/>
        <v>375684600</v>
      </c>
      <c r="AF73" s="273"/>
      <c r="AG73" s="275"/>
    </row>
    <row r="74" spans="26:33" x14ac:dyDescent="0.2">
      <c r="Z74" s="276">
        <f t="shared" si="5"/>
        <v>46</v>
      </c>
      <c r="AA74" s="272" t="s">
        <v>168</v>
      </c>
      <c r="AB74" s="272" t="s">
        <v>161</v>
      </c>
      <c r="AC74" s="273">
        <v>307</v>
      </c>
      <c r="AD74" s="273">
        <v>489200</v>
      </c>
      <c r="AE74" s="279">
        <f t="shared" si="4"/>
        <v>150184400</v>
      </c>
      <c r="AF74" s="273"/>
      <c r="AG74" s="275"/>
    </row>
    <row r="75" spans="26:33" x14ac:dyDescent="0.2">
      <c r="Z75" s="276">
        <f t="shared" si="5"/>
        <v>47</v>
      </c>
      <c r="AA75" s="272" t="s">
        <v>169</v>
      </c>
      <c r="AB75" s="272" t="s">
        <v>260</v>
      </c>
      <c r="AC75" s="273">
        <v>377</v>
      </c>
      <c r="AD75" s="273">
        <v>351400</v>
      </c>
      <c r="AE75" s="279">
        <f t="shared" si="4"/>
        <v>132477800</v>
      </c>
      <c r="AF75" s="273"/>
      <c r="AG75" s="275"/>
    </row>
    <row r="76" spans="26:33" x14ac:dyDescent="0.2">
      <c r="Z76" s="276">
        <f t="shared" si="5"/>
        <v>48</v>
      </c>
      <c r="AA76" s="272" t="s">
        <v>277</v>
      </c>
      <c r="AB76" s="272" t="s">
        <v>268</v>
      </c>
      <c r="AC76" s="273">
        <v>1131</v>
      </c>
      <c r="AD76" s="273">
        <v>347600</v>
      </c>
      <c r="AE76" s="279">
        <f t="shared" si="4"/>
        <v>393135600</v>
      </c>
      <c r="AF76" s="273"/>
      <c r="AG76" s="275"/>
    </row>
    <row r="77" spans="26:33" x14ac:dyDescent="0.2">
      <c r="Z77" s="276">
        <f t="shared" si="5"/>
        <v>49</v>
      </c>
      <c r="AA77" s="272" t="s">
        <v>278</v>
      </c>
      <c r="AB77" s="272" t="s">
        <v>268</v>
      </c>
      <c r="AC77" s="273">
        <v>450</v>
      </c>
      <c r="AD77" s="273">
        <v>334500</v>
      </c>
      <c r="AE77" s="279">
        <f t="shared" si="4"/>
        <v>150525000</v>
      </c>
      <c r="AF77" s="273"/>
      <c r="AG77" s="275"/>
    </row>
    <row r="78" spans="26:33" x14ac:dyDescent="0.2">
      <c r="Z78" s="276">
        <f t="shared" si="5"/>
        <v>50</v>
      </c>
      <c r="AA78" s="272" t="s">
        <v>170</v>
      </c>
      <c r="AB78" s="272" t="s">
        <v>164</v>
      </c>
      <c r="AC78" s="273">
        <v>503</v>
      </c>
      <c r="AD78" s="273">
        <v>334500</v>
      </c>
      <c r="AE78" s="279">
        <f t="shared" si="4"/>
        <v>168253500</v>
      </c>
      <c r="AF78" s="273"/>
      <c r="AG78" s="275"/>
    </row>
    <row r="79" spans="26:33" x14ac:dyDescent="0.2">
      <c r="Z79" s="276">
        <f t="shared" si="5"/>
        <v>51</v>
      </c>
      <c r="AA79" s="272" t="s">
        <v>171</v>
      </c>
      <c r="AB79" s="272" t="s">
        <v>258</v>
      </c>
      <c r="AC79" s="273">
        <v>622</v>
      </c>
      <c r="AD79" s="273">
        <v>351400</v>
      </c>
      <c r="AE79" s="279">
        <f t="shared" si="4"/>
        <v>218570800</v>
      </c>
      <c r="AF79" s="273"/>
      <c r="AG79" s="275"/>
    </row>
    <row r="80" spans="26:33" x14ac:dyDescent="0.2">
      <c r="Z80" s="276">
        <f t="shared" si="5"/>
        <v>52</v>
      </c>
      <c r="AA80" s="272" t="s">
        <v>279</v>
      </c>
      <c r="AB80" s="272" t="s">
        <v>280</v>
      </c>
      <c r="AC80" s="273">
        <v>1478</v>
      </c>
      <c r="AD80" s="273">
        <v>385200</v>
      </c>
      <c r="AE80" s="279">
        <f t="shared" si="4"/>
        <v>569325600</v>
      </c>
      <c r="AF80" s="273"/>
      <c r="AG80" s="275"/>
    </row>
    <row r="81" spans="26:33" x14ac:dyDescent="0.2">
      <c r="Z81" s="276">
        <f t="shared" si="5"/>
        <v>53</v>
      </c>
      <c r="AA81" s="272" t="s">
        <v>281</v>
      </c>
      <c r="AB81" s="272" t="s">
        <v>161</v>
      </c>
      <c r="AC81" s="273">
        <v>388</v>
      </c>
      <c r="AD81" s="273">
        <v>525000</v>
      </c>
      <c r="AE81" s="279">
        <f t="shared" si="4"/>
        <v>203700000</v>
      </c>
      <c r="AF81" s="273"/>
      <c r="AG81" s="275"/>
    </row>
    <row r="82" spans="26:33" x14ac:dyDescent="0.2">
      <c r="Z82" s="276">
        <f t="shared" si="5"/>
        <v>54</v>
      </c>
      <c r="AA82" s="272" t="s">
        <v>172</v>
      </c>
      <c r="AB82" s="272" t="s">
        <v>258</v>
      </c>
      <c r="AC82" s="273">
        <v>260</v>
      </c>
      <c r="AD82" s="273">
        <v>404400</v>
      </c>
      <c r="AE82" s="279">
        <f t="shared" si="4"/>
        <v>105144000</v>
      </c>
      <c r="AF82" s="273"/>
      <c r="AG82" s="275"/>
    </row>
    <row r="83" spans="26:33" x14ac:dyDescent="0.2">
      <c r="Z83" s="276">
        <f t="shared" si="5"/>
        <v>55</v>
      </c>
      <c r="AA83" s="272" t="s">
        <v>173</v>
      </c>
      <c r="AB83" s="272" t="s">
        <v>258</v>
      </c>
      <c r="AC83" s="273">
        <v>129</v>
      </c>
      <c r="AD83" s="273">
        <v>385200</v>
      </c>
      <c r="AE83" s="279">
        <f t="shared" si="4"/>
        <v>49690800</v>
      </c>
      <c r="AF83" s="273"/>
      <c r="AG83" s="275"/>
    </row>
    <row r="84" spans="26:33" x14ac:dyDescent="0.2">
      <c r="Z84" s="276">
        <f t="shared" si="5"/>
        <v>56</v>
      </c>
      <c r="AA84" s="272" t="s">
        <v>282</v>
      </c>
      <c r="AB84" s="272" t="s">
        <v>164</v>
      </c>
      <c r="AC84" s="273">
        <v>198</v>
      </c>
      <c r="AD84" s="273">
        <v>385200</v>
      </c>
      <c r="AE84" s="279">
        <f t="shared" si="4"/>
        <v>76269600</v>
      </c>
      <c r="AF84" s="273"/>
      <c r="AG84" s="275"/>
    </row>
    <row r="85" spans="26:33" x14ac:dyDescent="0.2">
      <c r="Z85" s="276">
        <f t="shared" si="5"/>
        <v>57</v>
      </c>
      <c r="AA85" s="272" t="s">
        <v>174</v>
      </c>
      <c r="AB85" s="272" t="s">
        <v>158</v>
      </c>
      <c r="AC85" s="273">
        <v>1611</v>
      </c>
      <c r="AD85" s="273">
        <v>1031000</v>
      </c>
      <c r="AE85" s="279">
        <f t="shared" si="4"/>
        <v>1660941000</v>
      </c>
      <c r="AF85" s="273"/>
      <c r="AG85" s="275"/>
    </row>
    <row r="86" spans="26:33" x14ac:dyDescent="0.2">
      <c r="Z86" s="276">
        <f t="shared" si="5"/>
        <v>58</v>
      </c>
      <c r="AA86" s="272" t="s">
        <v>283</v>
      </c>
      <c r="AB86" s="272" t="s">
        <v>224</v>
      </c>
      <c r="AC86" s="273">
        <v>18</v>
      </c>
      <c r="AD86" s="273">
        <v>312100</v>
      </c>
      <c r="AE86" s="279">
        <f t="shared" si="4"/>
        <v>5617800</v>
      </c>
      <c r="AF86" s="273"/>
      <c r="AG86" s="275"/>
    </row>
    <row r="87" spans="26:33" x14ac:dyDescent="0.2">
      <c r="Z87" s="276">
        <f t="shared" si="5"/>
        <v>59</v>
      </c>
      <c r="AA87" s="272" t="s">
        <v>284</v>
      </c>
      <c r="AB87" s="272" t="s">
        <v>258</v>
      </c>
      <c r="AC87" s="273">
        <v>1124</v>
      </c>
      <c r="AD87" s="273">
        <v>351400</v>
      </c>
      <c r="AE87" s="279">
        <f t="shared" si="4"/>
        <v>394973600</v>
      </c>
      <c r="AF87" s="273"/>
      <c r="AG87" s="275"/>
    </row>
    <row r="88" spans="26:33" x14ac:dyDescent="0.2">
      <c r="Z88" s="276">
        <f t="shared" si="5"/>
        <v>60</v>
      </c>
      <c r="AA88" s="272" t="s">
        <v>175</v>
      </c>
      <c r="AB88" s="272" t="s">
        <v>164</v>
      </c>
      <c r="AC88" s="273">
        <v>284</v>
      </c>
      <c r="AD88" s="273">
        <v>337900</v>
      </c>
      <c r="AE88" s="279">
        <f t="shared" si="4"/>
        <v>95963600</v>
      </c>
      <c r="AF88" s="273"/>
      <c r="AG88" s="275"/>
    </row>
    <row r="89" spans="26:33" x14ac:dyDescent="0.2">
      <c r="Z89" s="276">
        <f t="shared" si="5"/>
        <v>61</v>
      </c>
      <c r="AA89" s="272" t="s">
        <v>176</v>
      </c>
      <c r="AB89" s="272" t="s">
        <v>164</v>
      </c>
      <c r="AC89" s="273">
        <v>661</v>
      </c>
      <c r="AD89" s="273">
        <v>385200</v>
      </c>
      <c r="AE89" s="279">
        <f t="shared" si="4"/>
        <v>254617200</v>
      </c>
      <c r="AF89" s="273"/>
      <c r="AG89" s="275"/>
    </row>
    <row r="90" spans="26:33" x14ac:dyDescent="0.2">
      <c r="Z90" s="276">
        <f t="shared" si="5"/>
        <v>62</v>
      </c>
      <c r="AA90" s="272" t="s">
        <v>177</v>
      </c>
      <c r="AB90" s="272" t="s">
        <v>164</v>
      </c>
      <c r="AC90" s="273">
        <v>238</v>
      </c>
      <c r="AD90" s="273">
        <v>532900</v>
      </c>
      <c r="AE90" s="279">
        <f t="shared" si="4"/>
        <v>126830200</v>
      </c>
      <c r="AF90" s="273"/>
      <c r="AG90" s="275"/>
    </row>
    <row r="91" spans="26:33" x14ac:dyDescent="0.2">
      <c r="Z91" s="276">
        <f t="shared" si="5"/>
        <v>63</v>
      </c>
      <c r="AA91" s="272" t="s">
        <v>178</v>
      </c>
      <c r="AB91" s="272" t="s">
        <v>161</v>
      </c>
      <c r="AC91" s="273">
        <v>2020</v>
      </c>
      <c r="AD91" s="273">
        <v>560700</v>
      </c>
      <c r="AE91" s="279">
        <f t="shared" si="4"/>
        <v>1132614000</v>
      </c>
      <c r="AF91" s="273"/>
      <c r="AG91" s="275"/>
    </row>
    <row r="92" spans="26:33" x14ac:dyDescent="0.2">
      <c r="Z92" s="276">
        <f t="shared" si="5"/>
        <v>64</v>
      </c>
      <c r="AA92" s="272" t="s">
        <v>179</v>
      </c>
      <c r="AB92" s="272" t="s">
        <v>164</v>
      </c>
      <c r="AC92" s="273">
        <v>307</v>
      </c>
      <c r="AD92" s="273">
        <v>491900</v>
      </c>
      <c r="AE92" s="279">
        <f t="shared" si="4"/>
        <v>151013300</v>
      </c>
      <c r="AF92" s="273"/>
      <c r="AG92" s="275"/>
    </row>
    <row r="93" spans="26:33" x14ac:dyDescent="0.2">
      <c r="Z93" s="276">
        <f t="shared" si="5"/>
        <v>65</v>
      </c>
      <c r="AA93" s="272" t="s">
        <v>159</v>
      </c>
      <c r="AB93" s="272" t="s">
        <v>180</v>
      </c>
      <c r="AC93" s="273">
        <v>906</v>
      </c>
      <c r="AD93" s="273">
        <v>955400</v>
      </c>
      <c r="AE93" s="279">
        <f t="shared" si="4"/>
        <v>865592400</v>
      </c>
      <c r="AF93" s="273"/>
      <c r="AG93" s="275"/>
    </row>
    <row r="94" spans="26:33" x14ac:dyDescent="0.2">
      <c r="Z94" s="276">
        <f t="shared" si="5"/>
        <v>66</v>
      </c>
      <c r="AA94" s="272" t="s">
        <v>181</v>
      </c>
      <c r="AB94" s="272" t="s">
        <v>201</v>
      </c>
      <c r="AC94" s="273">
        <v>606</v>
      </c>
      <c r="AD94" s="273">
        <v>862600</v>
      </c>
      <c r="AE94" s="279">
        <f t="shared" si="4"/>
        <v>522735600</v>
      </c>
      <c r="AF94" s="273"/>
      <c r="AG94" s="275"/>
    </row>
    <row r="95" spans="26:33" x14ac:dyDescent="0.2">
      <c r="Z95" s="276">
        <f t="shared" si="5"/>
        <v>67</v>
      </c>
      <c r="AA95" s="272" t="s">
        <v>182</v>
      </c>
      <c r="AB95" s="272" t="s">
        <v>156</v>
      </c>
      <c r="AC95" s="273">
        <v>41</v>
      </c>
      <c r="AD95" s="273">
        <v>312100</v>
      </c>
      <c r="AE95" s="279">
        <f t="shared" si="4"/>
        <v>12796100</v>
      </c>
      <c r="AF95" s="273"/>
      <c r="AG95" s="275"/>
    </row>
    <row r="96" spans="26:33" x14ac:dyDescent="0.2">
      <c r="Z96" s="276">
        <f t="shared" si="5"/>
        <v>68</v>
      </c>
      <c r="AA96" s="272" t="s">
        <v>285</v>
      </c>
      <c r="AB96" s="272" t="s">
        <v>258</v>
      </c>
      <c r="AC96" s="273">
        <v>852</v>
      </c>
      <c r="AD96" s="273">
        <v>560700</v>
      </c>
      <c r="AE96" s="279">
        <f t="shared" si="4"/>
        <v>477716400</v>
      </c>
      <c r="AF96" s="273"/>
      <c r="AG96" s="275"/>
    </row>
    <row r="97" spans="26:33" x14ac:dyDescent="0.2">
      <c r="Z97" s="276">
        <f t="shared" si="5"/>
        <v>69</v>
      </c>
      <c r="AA97" s="272" t="s">
        <v>286</v>
      </c>
      <c r="AB97" s="272" t="s">
        <v>161</v>
      </c>
      <c r="AC97" s="273">
        <v>772</v>
      </c>
      <c r="AD97" s="273">
        <v>489200</v>
      </c>
      <c r="AE97" s="279">
        <f t="shared" si="4"/>
        <v>377662400</v>
      </c>
      <c r="AF97" s="273"/>
      <c r="AG97" s="275"/>
    </row>
    <row r="98" spans="26:33" x14ac:dyDescent="0.2">
      <c r="Z98" s="276">
        <f t="shared" si="5"/>
        <v>70</v>
      </c>
      <c r="AA98" s="272" t="s">
        <v>287</v>
      </c>
      <c r="AB98" s="272" t="s">
        <v>161</v>
      </c>
      <c r="AC98" s="273">
        <v>1359</v>
      </c>
      <c r="AD98" s="273">
        <v>578700</v>
      </c>
      <c r="AE98" s="279">
        <f t="shared" si="4"/>
        <v>786453300</v>
      </c>
      <c r="AF98" s="273"/>
      <c r="AG98" s="275"/>
    </row>
    <row r="99" spans="26:33" x14ac:dyDescent="0.2">
      <c r="Z99" s="276">
        <f t="shared" si="5"/>
        <v>71</v>
      </c>
      <c r="AA99" s="272" t="s">
        <v>288</v>
      </c>
      <c r="AB99" s="272" t="s">
        <v>260</v>
      </c>
      <c r="AC99" s="273">
        <v>1030</v>
      </c>
      <c r="AD99" s="273">
        <v>659200</v>
      </c>
      <c r="AE99" s="279">
        <f t="shared" si="4"/>
        <v>678976000</v>
      </c>
      <c r="AF99" s="273"/>
      <c r="AG99" s="275"/>
    </row>
    <row r="100" spans="26:33" x14ac:dyDescent="0.2">
      <c r="Z100" s="276">
        <f t="shared" si="5"/>
        <v>72</v>
      </c>
      <c r="AA100" s="272" t="s">
        <v>183</v>
      </c>
      <c r="AB100" s="272" t="s">
        <v>260</v>
      </c>
      <c r="AC100" s="273">
        <v>2558</v>
      </c>
      <c r="AD100" s="273">
        <v>596600</v>
      </c>
      <c r="AE100" s="279">
        <f t="shared" si="4"/>
        <v>1526102800</v>
      </c>
      <c r="AF100" s="273"/>
      <c r="AG100" s="275"/>
    </row>
    <row r="101" spans="26:33" x14ac:dyDescent="0.2">
      <c r="Z101" s="276">
        <f t="shared" si="5"/>
        <v>73</v>
      </c>
      <c r="AA101" s="272" t="s">
        <v>289</v>
      </c>
      <c r="AB101" s="272" t="s">
        <v>161</v>
      </c>
      <c r="AC101" s="273">
        <v>184</v>
      </c>
      <c r="AD101" s="273">
        <v>578700</v>
      </c>
      <c r="AE101" s="279">
        <f t="shared" si="4"/>
        <v>106480800</v>
      </c>
      <c r="AF101" s="273"/>
      <c r="AG101" s="275"/>
    </row>
    <row r="102" spans="26:33" x14ac:dyDescent="0.2">
      <c r="Z102" s="276">
        <f t="shared" si="5"/>
        <v>74</v>
      </c>
      <c r="AA102" s="272" t="s">
        <v>184</v>
      </c>
      <c r="AB102" s="272" t="s">
        <v>161</v>
      </c>
      <c r="AC102" s="273">
        <v>352</v>
      </c>
      <c r="AD102" s="273">
        <v>566100</v>
      </c>
      <c r="AE102" s="279">
        <f t="shared" si="4"/>
        <v>199267200</v>
      </c>
      <c r="AF102" s="273"/>
      <c r="AG102" s="275"/>
    </row>
    <row r="103" spans="26:33" x14ac:dyDescent="0.2">
      <c r="Z103" s="276">
        <f t="shared" si="5"/>
        <v>75</v>
      </c>
      <c r="AA103" s="272" t="s">
        <v>290</v>
      </c>
      <c r="AB103" s="272" t="s">
        <v>258</v>
      </c>
      <c r="AC103" s="273">
        <v>9</v>
      </c>
      <c r="AD103" s="273">
        <v>578700</v>
      </c>
      <c r="AE103" s="279">
        <f t="shared" si="4"/>
        <v>5208300</v>
      </c>
      <c r="AF103" s="273"/>
      <c r="AG103" s="275"/>
    </row>
    <row r="104" spans="26:33" x14ac:dyDescent="0.2">
      <c r="Z104" s="276">
        <f t="shared" si="5"/>
        <v>76</v>
      </c>
      <c r="AA104" s="272" t="s">
        <v>185</v>
      </c>
      <c r="AB104" s="272" t="s">
        <v>260</v>
      </c>
      <c r="AC104" s="273">
        <v>104</v>
      </c>
      <c r="AD104" s="273">
        <v>578700</v>
      </c>
      <c r="AE104" s="279">
        <f t="shared" si="4"/>
        <v>60184800</v>
      </c>
      <c r="AF104" s="273"/>
      <c r="AG104" s="275"/>
    </row>
    <row r="105" spans="26:33" x14ac:dyDescent="0.2">
      <c r="Z105" s="276">
        <f t="shared" si="5"/>
        <v>77</v>
      </c>
      <c r="AA105" s="272" t="s">
        <v>186</v>
      </c>
      <c r="AB105" s="272" t="s">
        <v>164</v>
      </c>
      <c r="AC105" s="273">
        <v>42</v>
      </c>
      <c r="AD105" s="273">
        <v>468300</v>
      </c>
      <c r="AE105" s="279">
        <f t="shared" si="4"/>
        <v>19668600</v>
      </c>
      <c r="AF105" s="273"/>
      <c r="AG105" s="275"/>
    </row>
    <row r="106" spans="26:33" x14ac:dyDescent="0.2">
      <c r="Z106" s="276">
        <f t="shared" si="5"/>
        <v>78</v>
      </c>
      <c r="AA106" s="272" t="s">
        <v>187</v>
      </c>
      <c r="AB106" s="272" t="s">
        <v>164</v>
      </c>
      <c r="AC106" s="273">
        <v>20</v>
      </c>
      <c r="AD106" s="273">
        <v>477800</v>
      </c>
      <c r="AE106" s="279">
        <f t="shared" si="4"/>
        <v>9556000</v>
      </c>
      <c r="AF106" s="273"/>
      <c r="AG106" s="275"/>
    </row>
    <row r="107" spans="26:33" x14ac:dyDescent="0.2">
      <c r="Z107" s="594" t="s">
        <v>255</v>
      </c>
      <c r="AA107" s="594"/>
      <c r="AB107" s="594"/>
      <c r="AC107" s="281">
        <f>SUM(AC54:AC106)</f>
        <v>55477</v>
      </c>
      <c r="AD107" s="282"/>
      <c r="AE107" s="281">
        <f>SUM(AE54:AE106)</f>
        <v>26996553600</v>
      </c>
      <c r="AF107" s="283">
        <v>184908202000</v>
      </c>
      <c r="AG107" s="284">
        <f>AE107/AF107</f>
        <v>0.14599976262816075</v>
      </c>
    </row>
    <row r="108" spans="26:33" x14ac:dyDescent="0.2">
      <c r="Z108" s="276"/>
      <c r="AA108" s="272"/>
      <c r="AB108" s="272"/>
      <c r="AC108" s="273"/>
      <c r="AD108" s="273"/>
      <c r="AE108" s="274"/>
      <c r="AF108" s="273"/>
      <c r="AG108" s="275"/>
    </row>
    <row r="109" spans="26:33" x14ac:dyDescent="0.2">
      <c r="Z109" s="276"/>
      <c r="AA109" s="272"/>
      <c r="AB109" s="272"/>
      <c r="AC109" s="266" t="s">
        <v>188</v>
      </c>
      <c r="AD109" s="286" t="s">
        <v>291</v>
      </c>
      <c r="AE109" s="266" t="s">
        <v>189</v>
      </c>
      <c r="AF109" s="268" t="s">
        <v>190</v>
      </c>
      <c r="AG109" s="275"/>
    </row>
    <row r="110" spans="26:33" x14ac:dyDescent="0.2">
      <c r="Z110" s="276"/>
      <c r="AA110" s="272"/>
      <c r="AB110" s="272"/>
      <c r="AC110" s="267" t="s">
        <v>191</v>
      </c>
      <c r="AD110" s="287">
        <f>AE52</f>
        <v>29123325080</v>
      </c>
      <c r="AE110" s="269">
        <f>AF52</f>
        <v>106437036000</v>
      </c>
      <c r="AF110" s="270">
        <f>AD110/AE110</f>
        <v>0.27362021881180532</v>
      </c>
      <c r="AG110" s="275"/>
    </row>
    <row r="111" spans="26:33" x14ac:dyDescent="0.2">
      <c r="Z111" s="276"/>
      <c r="AA111" s="272"/>
      <c r="AB111" s="272"/>
      <c r="AC111" s="267" t="s">
        <v>192</v>
      </c>
      <c r="AD111" s="287">
        <f>AE107</f>
        <v>26996553600</v>
      </c>
      <c r="AE111" s="269">
        <f>AF107</f>
        <v>184908202000</v>
      </c>
      <c r="AF111" s="270">
        <f>AD111/AE111</f>
        <v>0.14599976262816075</v>
      </c>
      <c r="AG111" s="275"/>
    </row>
    <row r="112" spans="26:33" x14ac:dyDescent="0.2">
      <c r="Z112" s="276"/>
      <c r="AA112" s="272"/>
      <c r="AB112" s="272"/>
      <c r="AC112" s="266" t="s">
        <v>160</v>
      </c>
      <c r="AD112" s="287">
        <f>SUM(AD110:AD111)</f>
        <v>56119878680</v>
      </c>
      <c r="AE112" s="269">
        <f>SUM(AE110:AE111)</f>
        <v>291345238000</v>
      </c>
      <c r="AF112" s="270">
        <f>AD112/AE112</f>
        <v>0.19262329140934853</v>
      </c>
      <c r="AG112" s="275"/>
    </row>
  </sheetData>
  <mergeCells count="3">
    <mergeCell ref="P2:Q2"/>
    <mergeCell ref="Z52:AB52"/>
    <mergeCell ref="Z107:AB107"/>
  </mergeCells>
  <phoneticPr fontId="15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  <pageSetUpPr fitToPage="1"/>
  </sheetPr>
  <dimension ref="A2:Y67"/>
  <sheetViews>
    <sheetView showGridLines="0" zoomScale="70" zoomScaleNormal="70" zoomScaleSheetLayoutView="80" workbookViewId="0">
      <selection activeCell="E8" sqref="E8"/>
    </sheetView>
  </sheetViews>
  <sheetFormatPr defaultRowHeight="16.5" x14ac:dyDescent="0.2"/>
  <cols>
    <col min="1" max="1" width="3" style="288" customWidth="1"/>
    <col min="2" max="2" width="18.85546875" style="288" customWidth="1"/>
    <col min="3" max="3" width="51.85546875" style="288" customWidth="1"/>
    <col min="4" max="4" width="22" style="308" customWidth="1"/>
    <col min="5" max="5" width="20.140625" style="288" customWidth="1"/>
    <col min="6" max="6" width="19.5703125" style="288" customWidth="1"/>
    <col min="7" max="7" width="18.42578125" style="288" customWidth="1"/>
    <col min="8" max="8" width="16.85546875" style="288" customWidth="1"/>
    <col min="9" max="9" width="13.5703125" style="288" customWidth="1"/>
    <col min="10" max="10" width="13.85546875" style="288" customWidth="1"/>
    <col min="11" max="12" width="11.42578125" style="288" customWidth="1"/>
    <col min="13" max="13" width="6.7109375" style="288" customWidth="1"/>
    <col min="14" max="14" width="13.42578125" style="342" customWidth="1"/>
    <col min="15" max="15" width="16" style="332" bestFit="1" customWidth="1"/>
    <col min="16" max="16" width="23.5703125" style="288" customWidth="1"/>
    <col min="17" max="17" width="16.7109375" style="288" customWidth="1"/>
    <col min="18" max="18" width="19.5703125" style="288" bestFit="1" customWidth="1"/>
    <col min="19" max="19" width="15.28515625" style="288" customWidth="1"/>
    <col min="20" max="20" width="15.85546875" style="288" customWidth="1"/>
    <col min="21" max="21" width="14.85546875" style="288" bestFit="1" customWidth="1"/>
    <col min="22" max="23" width="9.140625" style="288"/>
    <col min="24" max="25" width="9.140625" style="288" customWidth="1"/>
    <col min="26" max="16384" width="9.140625" style="288"/>
  </cols>
  <sheetData>
    <row r="2" spans="1:25" x14ac:dyDescent="0.2">
      <c r="B2" s="289"/>
      <c r="C2" s="289" t="s">
        <v>292</v>
      </c>
      <c r="D2" s="290">
        <v>40900</v>
      </c>
      <c r="E2" s="291"/>
      <c r="F2" s="64">
        <f>E4*10^6</f>
        <v>4163400346.1042595</v>
      </c>
      <c r="G2" s="289"/>
      <c r="H2" s="292"/>
      <c r="I2" s="289"/>
      <c r="J2" s="289"/>
      <c r="K2" s="293"/>
      <c r="L2" s="292"/>
      <c r="M2" s="292"/>
      <c r="N2" s="292"/>
      <c r="O2" s="294" t="s">
        <v>293</v>
      </c>
      <c r="P2" s="590" t="s">
        <v>294</v>
      </c>
      <c r="Q2" s="590"/>
      <c r="R2" s="288" t="s">
        <v>295</v>
      </c>
    </row>
    <row r="3" spans="1:25" s="295" customFormat="1" ht="30" customHeight="1" thickBot="1" x14ac:dyDescent="0.25">
      <c r="B3" s="8" t="s">
        <v>296</v>
      </c>
      <c r="C3" s="8" t="s">
        <v>297</v>
      </c>
      <c r="D3" s="296" t="s">
        <v>298</v>
      </c>
      <c r="E3" s="26" t="s">
        <v>299</v>
      </c>
      <c r="F3" s="11" t="s">
        <v>300</v>
      </c>
      <c r="G3" s="296" t="s">
        <v>301</v>
      </c>
      <c r="H3" s="296" t="s">
        <v>302</v>
      </c>
      <c r="I3" s="296" t="s">
        <v>303</v>
      </c>
      <c r="J3" s="10" t="s">
        <v>304</v>
      </c>
      <c r="K3" s="10" t="s">
        <v>305</v>
      </c>
      <c r="L3" s="10" t="s">
        <v>306</v>
      </c>
      <c r="M3" s="12" t="s">
        <v>307</v>
      </c>
      <c r="N3" s="297" t="s">
        <v>308</v>
      </c>
      <c r="O3" s="297" t="s">
        <v>309</v>
      </c>
      <c r="P3" s="297" t="s">
        <v>310</v>
      </c>
      <c r="Q3" s="297" t="s">
        <v>100</v>
      </c>
    </row>
    <row r="4" spans="1:25" ht="17.25" thickTop="1" x14ac:dyDescent="0.2">
      <c r="B4" s="298" t="s">
        <v>18</v>
      </c>
      <c r="C4" s="298" t="s">
        <v>19</v>
      </c>
      <c r="D4" s="299">
        <f>IF(D2&gt;F4,F4,D2)</f>
        <v>36420.522860284225</v>
      </c>
      <c r="E4" s="300">
        <f>IF(G4&gt;=D4,0,D4-G4)</f>
        <v>4163.4003461042594</v>
      </c>
      <c r="F4" s="301">
        <f>((((H4*K4-J4-L4)*I4)*1000000))/1000000</f>
        <v>36420.522860284225</v>
      </c>
      <c r="G4" s="299">
        <f>((H4*K4-L4-J4)*I4)/(1+N4/100)^M4</f>
        <v>32257.122514179966</v>
      </c>
      <c r="H4" s="302">
        <f>72295*85%</f>
        <v>61450.75</v>
      </c>
      <c r="I4" s="303">
        <f>425/425</f>
        <v>1</v>
      </c>
      <c r="J4" s="302">
        <v>0</v>
      </c>
      <c r="K4" s="304">
        <v>0.59565653084949699</v>
      </c>
      <c r="L4" s="302">
        <f>H4*K4*0.005</f>
        <v>183.01770281549864</v>
      </c>
      <c r="M4" s="305">
        <f>(2+23)/12</f>
        <v>2.0833333333333335</v>
      </c>
      <c r="N4" s="306">
        <v>6</v>
      </c>
      <c r="O4" s="307" t="s">
        <v>311</v>
      </c>
      <c r="P4" s="153">
        <f>IFERROR(IF(D4*24%&lt;E4,0,IF(E4/D4&lt;20%,D4*4%,D4*24%-E4)),)</f>
        <v>1456.8209144113691</v>
      </c>
      <c r="Q4" s="153">
        <f>E4+P4</f>
        <v>5620.2212605156283</v>
      </c>
      <c r="R4" s="308"/>
      <c r="S4" s="309"/>
      <c r="T4" s="310"/>
    </row>
    <row r="5" spans="1:25" x14ac:dyDescent="0.2">
      <c r="B5" s="298" t="s">
        <v>18</v>
      </c>
      <c r="C5" s="298" t="s">
        <v>19</v>
      </c>
      <c r="D5" s="299">
        <f>IF(D2&gt;F4,D2-D4,0)</f>
        <v>4479.4771397157747</v>
      </c>
      <c r="E5" s="300">
        <f>+D5</f>
        <v>4479.4771397157747</v>
      </c>
      <c r="F5" s="301">
        <f>((((H5*K5-J5-L5)*I5)*1000000))/1000000</f>
        <v>36420.522860284225</v>
      </c>
      <c r="G5" s="299">
        <f>((H5*K5-L5-J5)*I5)/(1+N5/100)^M5</f>
        <v>32257.122514179966</v>
      </c>
      <c r="H5" s="302">
        <f>72295*85%</f>
        <v>61450.75</v>
      </c>
      <c r="I5" s="303">
        <f>425/425</f>
        <v>1</v>
      </c>
      <c r="J5" s="302">
        <v>0</v>
      </c>
      <c r="K5" s="304">
        <f>+K4</f>
        <v>0.59565653084949699</v>
      </c>
      <c r="L5" s="302">
        <f>H5*K5*0.005</f>
        <v>183.01770281549864</v>
      </c>
      <c r="M5" s="311">
        <f>+M4</f>
        <v>2.0833333333333335</v>
      </c>
      <c r="N5" s="306">
        <v>6</v>
      </c>
      <c r="O5" s="307" t="s">
        <v>141</v>
      </c>
      <c r="P5" s="153">
        <f>IFERROR(IF(D5*24%&lt;E5,0,IF(E5/D5&lt;20%,D5*4%,D5*24%-E5)),)</f>
        <v>0</v>
      </c>
      <c r="Q5" s="153">
        <f>E5+P5</f>
        <v>4479.4771397157747</v>
      </c>
      <c r="R5" s="308"/>
      <c r="S5" s="309"/>
      <c r="T5" s="310"/>
    </row>
    <row r="6" spans="1:25" s="319" customFormat="1" ht="18.75" customHeight="1" x14ac:dyDescent="0.2">
      <c r="A6" s="312"/>
      <c r="B6" s="313" t="s">
        <v>312</v>
      </c>
      <c r="C6" s="314"/>
      <c r="D6" s="290" t="b">
        <f>+D2=(D4+D5)</f>
        <v>1</v>
      </c>
      <c r="E6" s="315">
        <v>10099.6984002314</v>
      </c>
      <c r="F6" s="149">
        <f>E4/D4</f>
        <v>0.11431467807521115</v>
      </c>
      <c r="G6" s="314"/>
      <c r="H6" s="316" t="s">
        <v>313</v>
      </c>
      <c r="I6" s="314"/>
      <c r="J6" s="314"/>
      <c r="K6" s="314"/>
      <c r="L6" s="314"/>
      <c r="M6" s="314"/>
      <c r="N6" s="317"/>
      <c r="O6" s="318"/>
      <c r="Q6" s="247">
        <f>+Q4+Q5</f>
        <v>10099.698400231402</v>
      </c>
      <c r="T6" s="310"/>
    </row>
    <row r="7" spans="1:25" s="319" customFormat="1" ht="18.75" customHeight="1" x14ac:dyDescent="0.2">
      <c r="B7" s="313" t="s">
        <v>314</v>
      </c>
      <c r="C7" s="314"/>
      <c r="D7" s="320"/>
      <c r="E7" s="315"/>
      <c r="F7" s="320"/>
      <c r="G7" s="320"/>
      <c r="H7" s="321" t="s">
        <v>315</v>
      </c>
      <c r="I7" s="320"/>
      <c r="J7" s="148"/>
      <c r="K7" s="321"/>
      <c r="L7" s="320"/>
      <c r="M7" s="321" t="s">
        <v>316</v>
      </c>
      <c r="N7" s="322"/>
      <c r="O7" s="318"/>
    </row>
    <row r="8" spans="1:25" s="319" customFormat="1" ht="17.25" customHeight="1" x14ac:dyDescent="0.55000000000000004">
      <c r="B8" s="313" t="s">
        <v>317</v>
      </c>
      <c r="C8" s="323"/>
      <c r="E8" s="315"/>
      <c r="F8" s="323"/>
      <c r="G8" s="323"/>
      <c r="H8" s="323"/>
      <c r="I8" s="147"/>
      <c r="J8" s="323"/>
      <c r="K8" s="323"/>
      <c r="L8" s="323"/>
      <c r="M8" s="323"/>
      <c r="N8" s="324"/>
      <c r="O8" s="318"/>
    </row>
    <row r="9" spans="1:25" s="319" customFormat="1" ht="31.5" x14ac:dyDescent="0.55000000000000004">
      <c r="B9" s="325"/>
      <c r="C9" s="323"/>
      <c r="D9" s="326"/>
      <c r="E9" s="146"/>
      <c r="F9" s="323"/>
      <c r="G9" s="323"/>
      <c r="H9" s="323"/>
      <c r="I9" s="323"/>
      <c r="J9" s="323"/>
      <c r="K9" s="323"/>
      <c r="L9" s="323"/>
      <c r="M9" s="323"/>
      <c r="N9" s="324"/>
      <c r="O9" s="318"/>
    </row>
    <row r="10" spans="1:25" x14ac:dyDescent="0.2">
      <c r="B10" s="327" t="s">
        <v>318</v>
      </c>
      <c r="C10" s="328"/>
      <c r="D10" s="329"/>
      <c r="F10" s="330" t="s">
        <v>319</v>
      </c>
      <c r="G10" s="330"/>
      <c r="H10" s="330"/>
      <c r="I10" s="330"/>
      <c r="J10" s="330"/>
      <c r="K10" s="330"/>
      <c r="L10" s="330"/>
      <c r="N10" s="331" t="s">
        <v>320</v>
      </c>
      <c r="X10" s="333"/>
    </row>
    <row r="11" spans="1:25" x14ac:dyDescent="0.2">
      <c r="B11" s="334" t="s">
        <v>321</v>
      </c>
      <c r="C11" s="335"/>
      <c r="D11" s="336"/>
      <c r="E11" s="337"/>
      <c r="N11" s="331" t="s">
        <v>322</v>
      </c>
      <c r="Y11" s="338"/>
    </row>
    <row r="12" spans="1:25" x14ac:dyDescent="0.2">
      <c r="B12" s="339" t="s">
        <v>323</v>
      </c>
      <c r="C12" s="340"/>
      <c r="D12" s="336"/>
      <c r="N12" s="331" t="s">
        <v>324</v>
      </c>
      <c r="Y12" s="338"/>
    </row>
    <row r="13" spans="1:25" x14ac:dyDescent="0.2">
      <c r="B13" s="341" t="s">
        <v>325</v>
      </c>
      <c r="C13" s="335"/>
      <c r="D13" s="336"/>
      <c r="N13" s="342" t="s">
        <v>326</v>
      </c>
      <c r="Y13" s="338"/>
    </row>
    <row r="14" spans="1:25" x14ac:dyDescent="0.2">
      <c r="B14" s="334"/>
      <c r="C14" s="335"/>
      <c r="D14" s="336"/>
      <c r="Y14" s="343"/>
    </row>
    <row r="15" spans="1:25" x14ac:dyDescent="0.2">
      <c r="B15" s="334"/>
      <c r="C15" s="335"/>
      <c r="D15" s="336"/>
      <c r="Y15" s="338"/>
    </row>
    <row r="16" spans="1:25" ht="17.25" customHeight="1" x14ac:dyDescent="0.2">
      <c r="B16" s="334"/>
      <c r="C16" s="335"/>
      <c r="D16" s="336"/>
      <c r="N16" s="344" t="s">
        <v>327</v>
      </c>
      <c r="Y16" s="338"/>
    </row>
    <row r="17" spans="2:25" x14ac:dyDescent="0.2">
      <c r="B17" s="334"/>
      <c r="C17" s="335"/>
      <c r="D17" s="336"/>
      <c r="Y17" s="338"/>
    </row>
    <row r="18" spans="2:25" x14ac:dyDescent="0.2">
      <c r="B18" s="334" t="s">
        <v>328</v>
      </c>
      <c r="C18" s="335"/>
      <c r="D18" s="336"/>
      <c r="Y18" s="338"/>
    </row>
    <row r="19" spans="2:25" x14ac:dyDescent="0.2">
      <c r="B19" s="334"/>
      <c r="C19" s="335"/>
      <c r="D19" s="336"/>
      <c r="Y19" s="338"/>
    </row>
    <row r="20" spans="2:25" x14ac:dyDescent="0.2">
      <c r="B20" s="334"/>
      <c r="C20" s="335"/>
      <c r="D20" s="336"/>
      <c r="U20" s="345"/>
      <c r="V20" s="345"/>
      <c r="Y20" s="343"/>
    </row>
    <row r="21" spans="2:25" x14ac:dyDescent="0.2">
      <c r="B21" s="334"/>
      <c r="C21" s="335"/>
      <c r="D21" s="336"/>
      <c r="U21" s="345"/>
      <c r="V21" s="345"/>
      <c r="Y21" s="338"/>
    </row>
    <row r="22" spans="2:25" x14ac:dyDescent="0.2">
      <c r="B22" s="334"/>
      <c r="C22" s="335"/>
      <c r="D22" s="336"/>
      <c r="N22" s="344" t="s">
        <v>329</v>
      </c>
      <c r="U22" s="345"/>
      <c r="V22" s="345"/>
      <c r="Y22" s="338"/>
    </row>
    <row r="23" spans="2:25" x14ac:dyDescent="0.2">
      <c r="B23" s="334"/>
      <c r="C23" s="335"/>
      <c r="D23" s="336"/>
      <c r="N23" s="346" t="s">
        <v>330</v>
      </c>
      <c r="O23" s="346" t="s">
        <v>331</v>
      </c>
      <c r="P23" s="346" t="s">
        <v>332</v>
      </c>
      <c r="Q23" s="346" t="s">
        <v>333</v>
      </c>
      <c r="R23" s="346" t="s">
        <v>334</v>
      </c>
      <c r="S23" s="346" t="s">
        <v>335</v>
      </c>
      <c r="T23" s="346" t="s">
        <v>336</v>
      </c>
      <c r="U23" s="345"/>
      <c r="V23" s="345"/>
      <c r="Y23" s="338"/>
    </row>
    <row r="24" spans="2:25" x14ac:dyDescent="0.2">
      <c r="B24" s="347"/>
      <c r="C24" s="348"/>
      <c r="D24" s="349"/>
      <c r="N24" s="346">
        <v>84</v>
      </c>
      <c r="O24" s="346">
        <v>97.4</v>
      </c>
      <c r="P24" s="346" t="s">
        <v>337</v>
      </c>
      <c r="Q24" s="346" t="s">
        <v>338</v>
      </c>
      <c r="R24" s="346"/>
      <c r="S24" s="346" t="s">
        <v>339</v>
      </c>
      <c r="T24" s="346"/>
      <c r="U24" s="345"/>
      <c r="V24" s="345"/>
      <c r="Y24" s="338"/>
    </row>
    <row r="25" spans="2:25" x14ac:dyDescent="0.2">
      <c r="N25" s="346">
        <v>84</v>
      </c>
      <c r="O25" s="346">
        <v>71.7</v>
      </c>
      <c r="P25" s="346" t="s">
        <v>340</v>
      </c>
      <c r="Q25" s="346" t="s">
        <v>341</v>
      </c>
      <c r="R25" s="346"/>
      <c r="S25" s="350" t="s">
        <v>342</v>
      </c>
      <c r="T25" s="346" t="s">
        <v>343</v>
      </c>
      <c r="U25" s="345"/>
      <c r="V25" s="345"/>
      <c r="X25" s="337"/>
      <c r="Y25" s="343"/>
    </row>
    <row r="26" spans="2:25" x14ac:dyDescent="0.2">
      <c r="B26" s="327" t="s">
        <v>344</v>
      </c>
      <c r="C26" s="328"/>
      <c r="D26" s="329"/>
      <c r="N26" s="140">
        <v>119</v>
      </c>
      <c r="O26" s="346">
        <v>72.540000000000006</v>
      </c>
      <c r="P26" s="346" t="s">
        <v>345</v>
      </c>
      <c r="Q26" s="346" t="s">
        <v>346</v>
      </c>
      <c r="R26" s="346" t="s">
        <v>347</v>
      </c>
      <c r="S26" s="346" t="s">
        <v>348</v>
      </c>
      <c r="T26" s="346" t="s">
        <v>343</v>
      </c>
      <c r="U26" s="345"/>
      <c r="V26" s="345"/>
      <c r="Y26" s="338"/>
    </row>
    <row r="27" spans="2:25" x14ac:dyDescent="0.2">
      <c r="B27" s="351" t="s">
        <v>349</v>
      </c>
      <c r="C27" s="335"/>
      <c r="D27" s="336"/>
      <c r="N27" s="346">
        <v>84</v>
      </c>
      <c r="O27" s="346">
        <v>88</v>
      </c>
      <c r="P27" s="346" t="s">
        <v>350</v>
      </c>
      <c r="Q27" s="346" t="s">
        <v>351</v>
      </c>
      <c r="R27" s="346"/>
      <c r="S27" s="346" t="s">
        <v>339</v>
      </c>
      <c r="T27" s="346" t="s">
        <v>343</v>
      </c>
      <c r="U27" s="345"/>
      <c r="V27" s="345"/>
      <c r="Y27" s="338"/>
    </row>
    <row r="28" spans="2:25" x14ac:dyDescent="0.2">
      <c r="B28" s="334"/>
      <c r="C28" s="335"/>
      <c r="D28" s="336"/>
      <c r="N28" s="346">
        <v>124</v>
      </c>
      <c r="O28" s="346">
        <v>65.790000000000006</v>
      </c>
      <c r="P28" s="346" t="s">
        <v>352</v>
      </c>
      <c r="Q28" s="346" t="s">
        <v>353</v>
      </c>
      <c r="R28" s="346" t="s">
        <v>354</v>
      </c>
      <c r="S28" s="346" t="s">
        <v>355</v>
      </c>
      <c r="T28" s="346" t="s">
        <v>356</v>
      </c>
      <c r="U28" s="345"/>
      <c r="V28" s="345"/>
      <c r="Y28" s="338"/>
    </row>
    <row r="29" spans="2:25" ht="17.25" x14ac:dyDescent="0.2">
      <c r="B29" s="352" t="s">
        <v>357</v>
      </c>
      <c r="C29" s="335"/>
      <c r="D29" s="336"/>
      <c r="U29" s="345"/>
      <c r="V29" s="345"/>
      <c r="Y29" s="338"/>
    </row>
    <row r="30" spans="2:25" ht="17.25" x14ac:dyDescent="0.2">
      <c r="B30" s="352" t="s">
        <v>358</v>
      </c>
      <c r="C30" s="335"/>
      <c r="D30" s="336"/>
      <c r="U30" s="345"/>
      <c r="V30" s="345"/>
      <c r="Y30" s="338"/>
    </row>
    <row r="31" spans="2:25" x14ac:dyDescent="0.2">
      <c r="B31" s="334"/>
      <c r="C31" s="335"/>
      <c r="D31" s="336"/>
      <c r="N31" s="342" t="s">
        <v>359</v>
      </c>
      <c r="U31" s="345"/>
      <c r="V31" s="345"/>
      <c r="Y31" s="338"/>
    </row>
    <row r="32" spans="2:25" x14ac:dyDescent="0.2">
      <c r="B32" s="334"/>
      <c r="C32" s="335"/>
      <c r="D32" s="336"/>
      <c r="U32" s="345"/>
      <c r="V32" s="345"/>
      <c r="Y32" s="338"/>
    </row>
    <row r="33" spans="2:25" x14ac:dyDescent="0.2">
      <c r="B33" s="334"/>
      <c r="C33" s="335"/>
      <c r="D33" s="336"/>
      <c r="N33" s="353" t="s">
        <v>360</v>
      </c>
      <c r="O33" s="354">
        <v>45504</v>
      </c>
      <c r="P33" s="355"/>
      <c r="U33" s="345"/>
      <c r="V33" s="345"/>
      <c r="Y33" s="338"/>
    </row>
    <row r="34" spans="2:25" x14ac:dyDescent="0.2">
      <c r="B34" s="334"/>
      <c r="C34" s="335"/>
      <c r="D34" s="336"/>
      <c r="N34" s="356" t="s">
        <v>361</v>
      </c>
      <c r="O34" s="357">
        <v>45751</v>
      </c>
      <c r="P34" s="355"/>
      <c r="Y34" s="338"/>
    </row>
    <row r="35" spans="2:25" x14ac:dyDescent="0.2">
      <c r="B35" s="334"/>
      <c r="C35" s="335"/>
      <c r="D35" s="336"/>
      <c r="N35" s="356" t="s">
        <v>362</v>
      </c>
      <c r="O35" s="357">
        <v>46299</v>
      </c>
      <c r="P35" s="355">
        <f>YEARFRAC(O33,O35,3)</f>
        <v>2.1780821917808217</v>
      </c>
      <c r="Y35" s="338"/>
    </row>
    <row r="36" spans="2:25" x14ac:dyDescent="0.2">
      <c r="B36" s="334"/>
      <c r="C36" s="335"/>
      <c r="D36" s="336"/>
      <c r="Y36" s="338"/>
    </row>
    <row r="37" spans="2:25" x14ac:dyDescent="0.2">
      <c r="B37" s="334" t="s">
        <v>363</v>
      </c>
      <c r="C37" s="335"/>
      <c r="D37" s="336"/>
      <c r="Y37" s="338"/>
    </row>
    <row r="38" spans="2:25" x14ac:dyDescent="0.2">
      <c r="B38" s="334"/>
      <c r="C38" s="335"/>
      <c r="D38" s="336"/>
    </row>
    <row r="39" spans="2:25" x14ac:dyDescent="0.2">
      <c r="B39" s="334"/>
      <c r="C39" s="335"/>
      <c r="D39" s="336"/>
    </row>
    <row r="40" spans="2:25" x14ac:dyDescent="0.2">
      <c r="B40" s="334"/>
      <c r="C40" s="335"/>
      <c r="D40" s="336"/>
    </row>
    <row r="41" spans="2:25" x14ac:dyDescent="0.2">
      <c r="B41" s="334"/>
      <c r="C41" s="335"/>
      <c r="D41" s="336"/>
    </row>
    <row r="42" spans="2:25" x14ac:dyDescent="0.2">
      <c r="B42" s="334"/>
      <c r="C42" s="335"/>
      <c r="D42" s="336"/>
    </row>
    <row r="43" spans="2:25" x14ac:dyDescent="0.2">
      <c r="B43" s="334"/>
      <c r="C43" s="335"/>
      <c r="D43" s="336"/>
    </row>
    <row r="44" spans="2:25" x14ac:dyDescent="0.2">
      <c r="B44" s="334"/>
      <c r="C44" s="335"/>
      <c r="D44" s="336"/>
    </row>
    <row r="45" spans="2:25" x14ac:dyDescent="0.2">
      <c r="B45" s="334"/>
      <c r="C45" s="335"/>
      <c r="D45" s="336"/>
    </row>
    <row r="46" spans="2:25" x14ac:dyDescent="0.2">
      <c r="B46" s="334"/>
      <c r="C46" s="335"/>
      <c r="D46" s="336"/>
    </row>
    <row r="47" spans="2:25" x14ac:dyDescent="0.2">
      <c r="B47" s="334"/>
      <c r="C47" s="335"/>
      <c r="D47" s="336"/>
    </row>
    <row r="48" spans="2:25" x14ac:dyDescent="0.2">
      <c r="B48" s="334"/>
      <c r="C48" s="335"/>
      <c r="D48" s="336"/>
    </row>
    <row r="49" spans="2:14" x14ac:dyDescent="0.2">
      <c r="B49" s="334"/>
      <c r="C49" s="335"/>
      <c r="D49" s="336"/>
    </row>
    <row r="50" spans="2:14" x14ac:dyDescent="0.2">
      <c r="B50" s="334"/>
      <c r="C50" s="335"/>
      <c r="D50" s="336"/>
    </row>
    <row r="51" spans="2:14" x14ac:dyDescent="0.2">
      <c r="B51" s="334"/>
      <c r="C51" s="335"/>
      <c r="D51" s="336"/>
    </row>
    <row r="52" spans="2:14" x14ac:dyDescent="0.2">
      <c r="B52" s="334"/>
      <c r="C52" s="335"/>
      <c r="D52" s="336"/>
      <c r="F52" s="330"/>
    </row>
    <row r="53" spans="2:14" x14ac:dyDescent="0.2">
      <c r="B53" s="347"/>
      <c r="C53" s="348"/>
      <c r="D53" s="349"/>
    </row>
    <row r="64" spans="2:14" x14ac:dyDescent="0.2">
      <c r="N64" s="358"/>
    </row>
    <row r="67" spans="16:16" x14ac:dyDescent="0.2">
      <c r="P67" s="359"/>
    </row>
  </sheetData>
  <mergeCells count="1">
    <mergeCell ref="P2:Q2"/>
  </mergeCells>
  <phoneticPr fontId="15" type="noConversion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2" orientation="landscape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B2:R102"/>
  <sheetViews>
    <sheetView showGridLines="0" zoomScale="85" zoomScaleNormal="85" workbookViewId="0">
      <selection activeCell="E4" sqref="E4"/>
    </sheetView>
  </sheetViews>
  <sheetFormatPr defaultRowHeight="12.75" x14ac:dyDescent="0.2"/>
  <cols>
    <col min="1" max="1" width="3.5703125" style="65" customWidth="1"/>
    <col min="2" max="2" width="15.5703125" style="65" bestFit="1" customWidth="1"/>
    <col min="3" max="3" width="42" style="65" customWidth="1"/>
    <col min="4" max="4" width="13.7109375" style="65" bestFit="1" customWidth="1"/>
    <col min="5" max="5" width="22" style="65" customWidth="1"/>
    <col min="6" max="6" width="17" style="65" bestFit="1" customWidth="1"/>
    <col min="7" max="7" width="19.42578125" style="65" customWidth="1"/>
    <col min="8" max="8" width="17.42578125" style="65" customWidth="1"/>
    <col min="9" max="9" width="18.140625" style="65" customWidth="1"/>
    <col min="10" max="10" width="14.28515625" style="65" bestFit="1" customWidth="1"/>
    <col min="11" max="12" width="11.5703125" style="65" bestFit="1" customWidth="1"/>
    <col min="13" max="13" width="6.7109375" style="65" bestFit="1" customWidth="1"/>
    <col min="14" max="14" width="7.5703125" style="65" bestFit="1" customWidth="1"/>
    <col min="15" max="15" width="15.42578125" style="65" bestFit="1" customWidth="1"/>
    <col min="16" max="16" width="23.85546875" style="65" bestFit="1" customWidth="1"/>
    <col min="17" max="17" width="17.42578125" style="65" bestFit="1" customWidth="1"/>
    <col min="18" max="18" width="9.85546875" style="65" bestFit="1" customWidth="1"/>
    <col min="19" max="16384" width="9.140625" style="65"/>
  </cols>
  <sheetData>
    <row r="2" spans="2:18" ht="16.5" x14ac:dyDescent="0.2">
      <c r="B2" s="2"/>
      <c r="C2" s="2"/>
      <c r="D2" s="3"/>
      <c r="E2" s="4"/>
      <c r="F2" s="64">
        <f>E4*10^6</f>
        <v>927696775.2509172</v>
      </c>
      <c r="G2" s="2"/>
      <c r="H2" s="5"/>
      <c r="I2" s="2"/>
      <c r="J2" s="2"/>
      <c r="K2" s="6"/>
      <c r="L2" s="5"/>
      <c r="M2" s="5"/>
      <c r="O2" s="7" t="s">
        <v>593</v>
      </c>
      <c r="P2" s="590" t="s">
        <v>594</v>
      </c>
      <c r="Q2" s="590"/>
      <c r="R2" s="145" t="s">
        <v>595</v>
      </c>
    </row>
    <row r="3" spans="2:18" ht="18" thickBot="1" x14ac:dyDescent="0.25">
      <c r="B3" s="8" t="s">
        <v>596</v>
      </c>
      <c r="C3" s="8" t="s">
        <v>597</v>
      </c>
      <c r="D3" s="9" t="s">
        <v>598</v>
      </c>
      <c r="E3" s="26" t="s">
        <v>599</v>
      </c>
      <c r="F3" s="11" t="s">
        <v>600</v>
      </c>
      <c r="G3" s="9" t="s">
        <v>601</v>
      </c>
      <c r="H3" s="9" t="s">
        <v>602</v>
      </c>
      <c r="I3" s="9" t="s">
        <v>603</v>
      </c>
      <c r="J3" s="10" t="s">
        <v>367</v>
      </c>
      <c r="K3" s="10" t="s">
        <v>604</v>
      </c>
      <c r="L3" s="10" t="s">
        <v>605</v>
      </c>
      <c r="M3" s="12" t="s">
        <v>606</v>
      </c>
      <c r="N3" s="13" t="s">
        <v>607</v>
      </c>
      <c r="O3" s="13" t="s">
        <v>608</v>
      </c>
      <c r="P3" s="74" t="s">
        <v>609</v>
      </c>
      <c r="Q3" s="74" t="s">
        <v>610</v>
      </c>
    </row>
    <row r="4" spans="2:18" ht="14.25" thickTop="1" x14ac:dyDescent="0.2">
      <c r="B4" s="15" t="s">
        <v>20</v>
      </c>
      <c r="C4" s="15" t="s">
        <v>21</v>
      </c>
      <c r="D4" s="16">
        <f>8056+7630</f>
        <v>15686</v>
      </c>
      <c r="E4" s="17">
        <f t="shared" ref="E4" si="0">IF(G4&gt;=D4,"0",D4-G4)</f>
        <v>927.6967752509172</v>
      </c>
      <c r="F4" s="18">
        <f t="shared" ref="F4" si="1">((((H4*K4-J4-L4)*I4)*1000000))/1000000</f>
        <v>20344.73484615385</v>
      </c>
      <c r="G4" s="16">
        <f>((H4*K4-L4-J4)*I4)/(1+N4/100)^M4</f>
        <v>14758.303224749083</v>
      </c>
      <c r="H4" s="19">
        <v>155000</v>
      </c>
      <c r="I4" s="20">
        <f>K12/H12</f>
        <v>0.47692307692307695</v>
      </c>
      <c r="J4" s="518">
        <v>36000</v>
      </c>
      <c r="K4" s="21">
        <v>0.50900000000000001</v>
      </c>
      <c r="L4" s="19">
        <f>H4*K4*0.003</f>
        <v>236.685</v>
      </c>
      <c r="M4" s="22">
        <f>I38</f>
        <v>2.4986301369863013</v>
      </c>
      <c r="N4" s="23">
        <v>13.709517200000001</v>
      </c>
      <c r="O4" s="24" t="s">
        <v>611</v>
      </c>
      <c r="P4" s="153">
        <f>IF(D4*7%&lt;E4,0,IF(E4/D4&lt;7%,D4*1.4%,D4*8.4%-E4))</f>
        <v>219.60399999999998</v>
      </c>
      <c r="Q4" s="154">
        <f>E4+P4</f>
        <v>1147.3007752509172</v>
      </c>
    </row>
    <row r="5" spans="2:18" x14ac:dyDescent="0.2">
      <c r="D5" s="143"/>
      <c r="E5" s="368">
        <f>E4/D4</f>
        <v>5.914170440207301E-2</v>
      </c>
      <c r="F5" s="88"/>
    </row>
    <row r="6" spans="2:18" x14ac:dyDescent="0.2">
      <c r="E6" s="369">
        <f>E4/31000</f>
        <v>2.9925702427448943E-2</v>
      </c>
    </row>
    <row r="8" spans="2:18" ht="16.5" x14ac:dyDescent="0.2">
      <c r="B8" s="29" t="s">
        <v>612</v>
      </c>
      <c r="C8" s="371"/>
      <c r="D8" s="117"/>
      <c r="E8" s="118"/>
      <c r="G8" s="372" t="s">
        <v>613</v>
      </c>
      <c r="H8" s="93"/>
      <c r="I8" s="93"/>
      <c r="J8" s="93"/>
      <c r="K8" s="93"/>
      <c r="L8" s="373"/>
      <c r="M8" s="92"/>
      <c r="R8" s="63"/>
    </row>
    <row r="9" spans="2:18" ht="16.5" x14ac:dyDescent="0.25">
      <c r="B9" s="374"/>
      <c r="C9" s="375" t="s">
        <v>614</v>
      </c>
      <c r="D9" s="120"/>
      <c r="E9" s="121"/>
      <c r="G9" s="90"/>
      <c r="I9" s="89"/>
      <c r="J9" s="89"/>
      <c r="K9" s="376" t="s">
        <v>615</v>
      </c>
      <c r="L9" s="377"/>
      <c r="M9" s="92"/>
    </row>
    <row r="10" spans="2:18" ht="16.5" x14ac:dyDescent="0.2">
      <c r="B10" s="374"/>
      <c r="C10" s="378" t="s">
        <v>616</v>
      </c>
      <c r="D10" s="120"/>
      <c r="E10" s="121"/>
      <c r="G10" s="379" t="s">
        <v>617</v>
      </c>
      <c r="H10" s="379" t="s">
        <v>618</v>
      </c>
      <c r="I10" s="379" t="s">
        <v>619</v>
      </c>
      <c r="J10" s="379" t="s">
        <v>620</v>
      </c>
      <c r="K10" s="379" t="s">
        <v>621</v>
      </c>
      <c r="L10" s="377"/>
      <c r="M10" s="92"/>
    </row>
    <row r="11" spans="2:18" ht="16.5" x14ac:dyDescent="0.2">
      <c r="B11" s="374"/>
      <c r="C11" s="378" t="s">
        <v>622</v>
      </c>
      <c r="D11" s="120"/>
      <c r="E11" s="121"/>
      <c r="G11" s="380" t="s">
        <v>623</v>
      </c>
      <c r="H11" s="381">
        <v>360</v>
      </c>
      <c r="I11" s="381">
        <v>0</v>
      </c>
      <c r="J11" s="381">
        <f>H11-I11</f>
        <v>360</v>
      </c>
      <c r="K11" s="380"/>
      <c r="L11" s="377"/>
      <c r="M11" s="92"/>
    </row>
    <row r="12" spans="2:18" ht="16.5" x14ac:dyDescent="0.2">
      <c r="B12" s="374"/>
      <c r="C12" s="378" t="s">
        <v>624</v>
      </c>
      <c r="D12" s="120"/>
      <c r="E12" s="121"/>
      <c r="G12" s="380" t="s">
        <v>60</v>
      </c>
      <c r="H12" s="381">
        <f>300+310+40</f>
        <v>650</v>
      </c>
      <c r="I12" s="381">
        <v>0</v>
      </c>
      <c r="J12" s="381">
        <f>H12-I12</f>
        <v>650</v>
      </c>
      <c r="K12" s="382">
        <v>310</v>
      </c>
      <c r="L12" s="377"/>
      <c r="M12" s="92"/>
    </row>
    <row r="13" spans="2:18" ht="13.5" x14ac:dyDescent="0.2">
      <c r="B13" s="122"/>
      <c r="C13" s="120"/>
      <c r="D13" s="120"/>
      <c r="E13" s="121"/>
      <c r="G13" s="380" t="s">
        <v>625</v>
      </c>
      <c r="H13" s="381">
        <f>SUM(H11:H12)</f>
        <v>1010</v>
      </c>
      <c r="I13" s="381">
        <f>SUM(I11:I12)</f>
        <v>0</v>
      </c>
      <c r="J13" s="381">
        <f>SUM(J11:J12)</f>
        <v>1010</v>
      </c>
      <c r="K13" s="380"/>
      <c r="L13" s="377"/>
      <c r="M13" s="92"/>
    </row>
    <row r="14" spans="2:18" ht="13.5" x14ac:dyDescent="0.2">
      <c r="B14" s="122"/>
      <c r="C14" s="120"/>
      <c r="D14" s="120"/>
      <c r="E14" s="121"/>
      <c r="G14" s="90" t="s">
        <v>626</v>
      </c>
      <c r="H14" s="89"/>
      <c r="I14" s="89"/>
      <c r="J14" s="89"/>
      <c r="K14" s="89"/>
      <c r="L14" s="377"/>
      <c r="M14" s="92"/>
    </row>
    <row r="15" spans="2:18" ht="13.5" x14ac:dyDescent="0.2">
      <c r="B15" s="122"/>
      <c r="C15" s="120"/>
      <c r="D15" s="120"/>
      <c r="E15" s="121"/>
      <c r="G15" s="90" t="s">
        <v>627</v>
      </c>
      <c r="H15" s="89"/>
      <c r="I15" s="89"/>
      <c r="J15" s="89"/>
      <c r="K15" s="89"/>
      <c r="L15" s="377"/>
      <c r="M15" s="92"/>
    </row>
    <row r="16" spans="2:18" ht="13.5" x14ac:dyDescent="0.2">
      <c r="B16" s="122"/>
      <c r="C16" s="120"/>
      <c r="D16" s="120"/>
      <c r="E16" s="121"/>
      <c r="G16" s="123"/>
      <c r="H16" s="124"/>
      <c r="I16" s="124"/>
      <c r="J16" s="124"/>
      <c r="K16" s="124"/>
      <c r="L16" s="383"/>
      <c r="M16" s="92"/>
    </row>
    <row r="17" spans="2:14" ht="13.5" x14ac:dyDescent="0.2">
      <c r="B17" s="122"/>
      <c r="C17" s="120"/>
      <c r="D17" s="120"/>
      <c r="E17" s="121"/>
      <c r="M17" s="92"/>
    </row>
    <row r="18" spans="2:14" ht="13.5" x14ac:dyDescent="0.2">
      <c r="B18" s="122"/>
      <c r="C18" s="120"/>
      <c r="D18" s="120"/>
      <c r="E18" s="121"/>
      <c r="M18" s="92"/>
    </row>
    <row r="19" spans="2:14" ht="16.5" x14ac:dyDescent="0.2">
      <c r="B19" s="122"/>
      <c r="C19" s="120"/>
      <c r="D19" s="120"/>
      <c r="E19" s="121"/>
      <c r="G19" s="29" t="s">
        <v>628</v>
      </c>
      <c r="H19" s="93"/>
      <c r="I19" s="93"/>
      <c r="J19" s="93"/>
      <c r="K19" s="93"/>
      <c r="L19" s="93"/>
      <c r="M19" s="93"/>
      <c r="N19" s="118"/>
    </row>
    <row r="20" spans="2:14" x14ac:dyDescent="0.2">
      <c r="B20" s="122"/>
      <c r="C20" s="120"/>
      <c r="D20" s="120"/>
      <c r="E20" s="121"/>
      <c r="G20" s="122"/>
      <c r="H20" s="120"/>
      <c r="I20" s="120"/>
      <c r="J20" s="120"/>
      <c r="K20" s="120"/>
      <c r="L20" s="120"/>
      <c r="M20" s="120"/>
      <c r="N20" s="121"/>
    </row>
    <row r="21" spans="2:14" x14ac:dyDescent="0.2">
      <c r="B21" s="122"/>
      <c r="C21" s="120"/>
      <c r="D21" s="120"/>
      <c r="E21" s="121"/>
      <c r="G21" s="122"/>
      <c r="H21" s="120"/>
      <c r="I21" s="120"/>
      <c r="J21" s="120"/>
      <c r="K21" s="120"/>
      <c r="L21" s="120"/>
      <c r="M21" s="120"/>
      <c r="N21" s="121"/>
    </row>
    <row r="22" spans="2:14" x14ac:dyDescent="0.2">
      <c r="B22" s="122"/>
      <c r="C22" s="120"/>
      <c r="D22" s="120"/>
      <c r="E22" s="121"/>
      <c r="G22" s="122"/>
      <c r="H22" s="120"/>
      <c r="I22" s="120"/>
      <c r="J22" s="120"/>
      <c r="K22" s="120"/>
      <c r="L22" s="120"/>
      <c r="M22" s="120"/>
      <c r="N22" s="121"/>
    </row>
    <row r="23" spans="2:14" x14ac:dyDescent="0.2">
      <c r="B23" s="122"/>
      <c r="C23" s="120"/>
      <c r="D23" s="120"/>
      <c r="E23" s="121"/>
      <c r="G23" s="122"/>
      <c r="H23" s="120"/>
      <c r="I23" s="120"/>
      <c r="J23" s="120"/>
      <c r="K23" s="120"/>
      <c r="L23" s="120"/>
      <c r="M23" s="120"/>
      <c r="N23" s="121"/>
    </row>
    <row r="24" spans="2:14" x14ac:dyDescent="0.2">
      <c r="B24" s="122"/>
      <c r="C24" s="120"/>
      <c r="D24" s="120"/>
      <c r="E24" s="121"/>
      <c r="G24" s="122"/>
      <c r="H24" s="120"/>
      <c r="I24" s="120"/>
      <c r="J24" s="120"/>
      <c r="K24" s="120"/>
      <c r="L24" s="120"/>
      <c r="M24" s="120"/>
      <c r="N24" s="121"/>
    </row>
    <row r="25" spans="2:14" x14ac:dyDescent="0.2">
      <c r="B25" s="122"/>
      <c r="C25" s="120"/>
      <c r="D25" s="120"/>
      <c r="E25" s="121"/>
      <c r="G25" s="122"/>
      <c r="H25" s="120"/>
      <c r="I25" s="120"/>
      <c r="J25" s="120"/>
      <c r="K25" s="120"/>
      <c r="L25" s="120"/>
      <c r="M25" s="120"/>
      <c r="N25" s="121"/>
    </row>
    <row r="26" spans="2:14" x14ac:dyDescent="0.2">
      <c r="B26" s="122"/>
      <c r="C26" s="120"/>
      <c r="D26" s="120"/>
      <c r="E26" s="121"/>
      <c r="G26" s="122"/>
      <c r="H26" s="120"/>
      <c r="I26" s="120"/>
      <c r="J26" s="120"/>
      <c r="K26" s="120"/>
      <c r="L26" s="120"/>
      <c r="M26" s="120"/>
      <c r="N26" s="121"/>
    </row>
    <row r="27" spans="2:14" x14ac:dyDescent="0.2">
      <c r="B27" s="123"/>
      <c r="C27" s="124"/>
      <c r="D27" s="124"/>
      <c r="E27" s="125"/>
      <c r="G27" s="122"/>
      <c r="H27" s="120"/>
      <c r="I27" s="120"/>
      <c r="J27" s="120"/>
      <c r="K27" s="120"/>
      <c r="L27" s="120"/>
      <c r="M27" s="120"/>
      <c r="N27" s="121"/>
    </row>
    <row r="28" spans="2:14" x14ac:dyDescent="0.2">
      <c r="G28" s="122"/>
      <c r="H28" s="120"/>
      <c r="I28" s="120"/>
      <c r="J28" s="120"/>
      <c r="K28" s="120"/>
      <c r="L28" s="120"/>
      <c r="M28" s="120"/>
      <c r="N28" s="121"/>
    </row>
    <row r="29" spans="2:14" ht="16.5" x14ac:dyDescent="0.2">
      <c r="B29" s="29" t="s">
        <v>629</v>
      </c>
      <c r="C29" s="117"/>
      <c r="D29" s="117"/>
      <c r="E29" s="118"/>
      <c r="G29" s="122"/>
      <c r="H29" s="120"/>
      <c r="I29" s="120"/>
      <c r="J29" s="120"/>
      <c r="K29" s="120"/>
      <c r="L29" s="120"/>
      <c r="M29" s="120"/>
      <c r="N29" s="121"/>
    </row>
    <row r="30" spans="2:14" x14ac:dyDescent="0.2">
      <c r="B30" s="122"/>
      <c r="C30" s="384" t="s">
        <v>630</v>
      </c>
      <c r="D30" s="120"/>
      <c r="E30" s="121"/>
      <c r="G30" s="122"/>
      <c r="H30" s="120"/>
      <c r="I30" s="120"/>
      <c r="J30" s="120"/>
      <c r="K30" s="120"/>
      <c r="L30" s="120"/>
      <c r="M30" s="120"/>
      <c r="N30" s="121"/>
    </row>
    <row r="31" spans="2:14" x14ac:dyDescent="0.2">
      <c r="B31" s="122"/>
      <c r="C31" s="120"/>
      <c r="D31" s="120"/>
      <c r="E31" s="121"/>
      <c r="G31" s="123"/>
      <c r="H31" s="124"/>
      <c r="I31" s="124"/>
      <c r="J31" s="124"/>
      <c r="K31" s="124"/>
      <c r="L31" s="124"/>
      <c r="M31" s="124"/>
      <c r="N31" s="125"/>
    </row>
    <row r="32" spans="2:14" x14ac:dyDescent="0.2">
      <c r="B32" s="122"/>
      <c r="C32" s="120"/>
      <c r="D32" s="120"/>
      <c r="E32" s="121"/>
    </row>
    <row r="33" spans="2:14" x14ac:dyDescent="0.2">
      <c r="B33" s="122"/>
      <c r="C33" s="120"/>
      <c r="D33" s="120"/>
      <c r="E33" s="121"/>
    </row>
    <row r="34" spans="2:14" ht="16.5" x14ac:dyDescent="0.2">
      <c r="B34" s="122"/>
      <c r="C34" s="120"/>
      <c r="D34" s="120"/>
      <c r="E34" s="121"/>
      <c r="G34" s="53" t="s">
        <v>631</v>
      </c>
      <c r="H34" s="117"/>
      <c r="I34" s="117"/>
      <c r="J34" s="117"/>
      <c r="K34" s="117"/>
      <c r="L34" s="117"/>
      <c r="M34" s="117"/>
      <c r="N34" s="118"/>
    </row>
    <row r="35" spans="2:14" x14ac:dyDescent="0.2">
      <c r="B35" s="122"/>
      <c r="C35" s="120"/>
      <c r="D35" s="120"/>
      <c r="E35" s="121"/>
      <c r="G35" s="122"/>
      <c r="H35" s="120"/>
      <c r="I35" s="120"/>
      <c r="J35" s="120"/>
      <c r="K35" s="120"/>
      <c r="L35" s="120"/>
      <c r="M35" s="120"/>
      <c r="N35" s="121"/>
    </row>
    <row r="36" spans="2:14" ht="13.5" x14ac:dyDescent="0.2">
      <c r="B36" s="122"/>
      <c r="C36" s="120"/>
      <c r="D36" s="120"/>
      <c r="E36" s="121"/>
      <c r="G36" s="385" t="s">
        <v>632</v>
      </c>
      <c r="H36" s="386">
        <v>45473</v>
      </c>
      <c r="I36" s="89"/>
      <c r="J36" s="120"/>
      <c r="K36" s="120"/>
      <c r="L36" s="120"/>
      <c r="M36" s="120"/>
      <c r="N36" s="121"/>
    </row>
    <row r="37" spans="2:14" ht="13.5" x14ac:dyDescent="0.2">
      <c r="B37" s="123"/>
      <c r="C37" s="124"/>
      <c r="D37" s="124"/>
      <c r="E37" s="125"/>
      <c r="G37" s="90" t="s">
        <v>633</v>
      </c>
      <c r="H37" s="151" t="s">
        <v>634</v>
      </c>
      <c r="I37" s="89"/>
      <c r="J37" s="120"/>
      <c r="K37" s="120"/>
      <c r="L37" s="120"/>
      <c r="M37" s="120"/>
      <c r="N37" s="121"/>
    </row>
    <row r="38" spans="2:14" ht="13.5" x14ac:dyDescent="0.2">
      <c r="G38" s="90" t="s">
        <v>635</v>
      </c>
      <c r="H38" s="151" t="s">
        <v>636</v>
      </c>
      <c r="I38" s="89">
        <f>YEARFRAC(H36,H38,3)</f>
        <v>2.4986301369863013</v>
      </c>
      <c r="J38" s="120"/>
      <c r="K38" s="120"/>
      <c r="L38" s="120"/>
      <c r="M38" s="120"/>
      <c r="N38" s="121"/>
    </row>
    <row r="39" spans="2:14" ht="16.5" x14ac:dyDescent="0.2">
      <c r="B39" s="29" t="s">
        <v>637</v>
      </c>
      <c r="C39" s="117"/>
      <c r="D39" s="117"/>
      <c r="E39" s="118"/>
      <c r="G39" s="122"/>
      <c r="H39" s="120"/>
      <c r="I39" s="120"/>
      <c r="J39" s="120"/>
      <c r="K39" s="120"/>
      <c r="L39" s="120"/>
      <c r="M39" s="120"/>
      <c r="N39" s="121"/>
    </row>
    <row r="40" spans="2:14" ht="16.5" x14ac:dyDescent="0.2">
      <c r="B40" s="122"/>
      <c r="C40" s="519" t="s">
        <v>638</v>
      </c>
      <c r="D40" s="120"/>
      <c r="E40" s="121"/>
      <c r="G40" s="122"/>
      <c r="H40" s="120"/>
      <c r="I40" s="120"/>
      <c r="J40" s="120"/>
      <c r="K40" s="120"/>
      <c r="L40" s="120"/>
      <c r="M40" s="120"/>
      <c r="N40" s="121"/>
    </row>
    <row r="41" spans="2:14" ht="13.5" x14ac:dyDescent="0.2">
      <c r="B41" s="122"/>
      <c r="C41" s="89" t="s">
        <v>639</v>
      </c>
      <c r="D41" s="120"/>
      <c r="E41" s="121"/>
      <c r="G41" s="122"/>
      <c r="H41" s="120"/>
      <c r="I41" s="120"/>
      <c r="J41" s="120"/>
      <c r="K41" s="120"/>
      <c r="L41" s="120"/>
      <c r="M41" s="120"/>
      <c r="N41" s="121"/>
    </row>
    <row r="42" spans="2:14" x14ac:dyDescent="0.2">
      <c r="B42" s="122"/>
      <c r="C42" s="120"/>
      <c r="D42" s="120"/>
      <c r="E42" s="121"/>
      <c r="G42" s="122"/>
      <c r="H42" s="120"/>
      <c r="I42" s="120"/>
      <c r="J42" s="120"/>
      <c r="K42" s="120"/>
      <c r="L42" s="120"/>
      <c r="M42" s="120"/>
      <c r="N42" s="121"/>
    </row>
    <row r="43" spans="2:14" x14ac:dyDescent="0.2">
      <c r="B43" s="122"/>
      <c r="C43" s="120"/>
      <c r="D43" s="120"/>
      <c r="E43" s="121"/>
      <c r="G43" s="122"/>
      <c r="H43" s="120"/>
      <c r="I43" s="120"/>
      <c r="J43" s="120"/>
      <c r="K43" s="120"/>
      <c r="L43" s="120"/>
      <c r="M43" s="120"/>
      <c r="N43" s="121"/>
    </row>
    <row r="44" spans="2:14" x14ac:dyDescent="0.2">
      <c r="B44" s="122"/>
      <c r="C44" s="120"/>
      <c r="D44" s="120"/>
      <c r="E44" s="121"/>
      <c r="G44" s="122"/>
      <c r="H44" s="120"/>
      <c r="I44" s="120"/>
      <c r="J44" s="120"/>
      <c r="K44" s="120"/>
      <c r="L44" s="120"/>
      <c r="M44" s="120"/>
      <c r="N44" s="121"/>
    </row>
    <row r="45" spans="2:14" x14ac:dyDescent="0.2">
      <c r="B45" s="122"/>
      <c r="C45" s="120"/>
      <c r="D45" s="120"/>
      <c r="E45" s="121"/>
      <c r="G45" s="122"/>
      <c r="H45" s="120"/>
      <c r="I45" s="120"/>
      <c r="J45" s="120"/>
      <c r="K45" s="120"/>
      <c r="L45" s="120"/>
      <c r="M45" s="120"/>
      <c r="N45" s="121"/>
    </row>
    <row r="46" spans="2:14" x14ac:dyDescent="0.2">
      <c r="B46" s="122"/>
      <c r="C46" s="120"/>
      <c r="D46" s="120"/>
      <c r="E46" s="121"/>
      <c r="G46" s="122"/>
      <c r="H46" s="120"/>
      <c r="I46" s="120"/>
      <c r="J46" s="120"/>
      <c r="K46" s="120"/>
      <c r="L46" s="120"/>
      <c r="M46" s="120"/>
      <c r="N46" s="121"/>
    </row>
    <row r="47" spans="2:14" x14ac:dyDescent="0.2">
      <c r="B47" s="122"/>
      <c r="C47" s="120"/>
      <c r="D47" s="120"/>
      <c r="E47" s="121"/>
      <c r="G47" s="122"/>
      <c r="H47" s="120"/>
      <c r="I47" s="120"/>
      <c r="J47" s="120"/>
      <c r="K47" s="120"/>
      <c r="L47" s="120"/>
      <c r="M47" s="120"/>
      <c r="N47" s="121"/>
    </row>
    <row r="48" spans="2:14" x14ac:dyDescent="0.2">
      <c r="B48" s="122"/>
      <c r="C48" s="120"/>
      <c r="D48" s="120"/>
      <c r="E48" s="121"/>
      <c r="G48" s="123"/>
      <c r="H48" s="124"/>
      <c r="I48" s="124"/>
      <c r="J48" s="124"/>
      <c r="K48" s="124"/>
      <c r="L48" s="124"/>
      <c r="M48" s="124"/>
      <c r="N48" s="125"/>
    </row>
    <row r="49" spans="2:5" x14ac:dyDescent="0.2">
      <c r="B49" s="122"/>
      <c r="C49" s="120"/>
      <c r="D49" s="120"/>
      <c r="E49" s="121"/>
    </row>
    <row r="50" spans="2:5" x14ac:dyDescent="0.2">
      <c r="B50" s="122"/>
      <c r="C50" s="120"/>
      <c r="D50" s="120"/>
      <c r="E50" s="121"/>
    </row>
    <row r="51" spans="2:5" x14ac:dyDescent="0.2">
      <c r="B51" s="122"/>
      <c r="C51" s="120"/>
      <c r="D51" s="120"/>
      <c r="E51" s="121"/>
    </row>
    <row r="52" spans="2:5" x14ac:dyDescent="0.2">
      <c r="B52" s="122"/>
      <c r="C52" s="120"/>
      <c r="D52" s="120"/>
      <c r="E52" s="121"/>
    </row>
    <row r="53" spans="2:5" x14ac:dyDescent="0.2">
      <c r="B53" s="122"/>
      <c r="C53" s="120"/>
      <c r="D53" s="120"/>
      <c r="E53" s="121"/>
    </row>
    <row r="54" spans="2:5" x14ac:dyDescent="0.2">
      <c r="B54" s="122"/>
      <c r="C54" s="120"/>
      <c r="D54" s="120"/>
      <c r="E54" s="121"/>
    </row>
    <row r="55" spans="2:5" x14ac:dyDescent="0.2">
      <c r="B55" s="122"/>
      <c r="C55" s="120"/>
      <c r="D55" s="120"/>
      <c r="E55" s="121"/>
    </row>
    <row r="56" spans="2:5" ht="13.5" x14ac:dyDescent="0.2">
      <c r="B56" s="122"/>
      <c r="C56" s="142" t="s">
        <v>640</v>
      </c>
      <c r="D56" s="120"/>
      <c r="E56" s="121"/>
    </row>
    <row r="57" spans="2:5" ht="13.5" x14ac:dyDescent="0.2">
      <c r="B57" s="122"/>
      <c r="C57" s="89" t="s">
        <v>639</v>
      </c>
      <c r="D57" s="120"/>
      <c r="E57" s="121"/>
    </row>
    <row r="58" spans="2:5" x14ac:dyDescent="0.2">
      <c r="B58" s="122"/>
      <c r="C58" s="120"/>
      <c r="D58" s="120"/>
      <c r="E58" s="121"/>
    </row>
    <row r="59" spans="2:5" x14ac:dyDescent="0.2">
      <c r="B59" s="122"/>
      <c r="C59" s="120"/>
      <c r="D59" s="120"/>
      <c r="E59" s="121"/>
    </row>
    <row r="60" spans="2:5" x14ac:dyDescent="0.2">
      <c r="B60" s="122"/>
      <c r="C60" s="120"/>
      <c r="D60" s="120"/>
      <c r="E60" s="121"/>
    </row>
    <row r="61" spans="2:5" x14ac:dyDescent="0.2">
      <c r="B61" s="122"/>
      <c r="C61" s="120"/>
      <c r="D61" s="120"/>
      <c r="E61" s="121"/>
    </row>
    <row r="62" spans="2:5" x14ac:dyDescent="0.2">
      <c r="B62" s="122"/>
      <c r="C62" s="120"/>
      <c r="D62" s="120"/>
      <c r="E62" s="121"/>
    </row>
    <row r="63" spans="2:5" x14ac:dyDescent="0.2">
      <c r="B63" s="122"/>
      <c r="C63" s="120"/>
      <c r="D63" s="120"/>
      <c r="E63" s="121"/>
    </row>
    <row r="64" spans="2:5" x14ac:dyDescent="0.2">
      <c r="B64" s="122"/>
      <c r="C64" s="120"/>
      <c r="D64" s="120"/>
      <c r="E64" s="121"/>
    </row>
    <row r="65" spans="2:5" x14ac:dyDescent="0.2">
      <c r="B65" s="122"/>
      <c r="C65" s="120"/>
      <c r="D65" s="120"/>
      <c r="E65" s="121"/>
    </row>
    <row r="66" spans="2:5" x14ac:dyDescent="0.2">
      <c r="B66" s="122"/>
      <c r="C66" s="120"/>
      <c r="D66" s="120"/>
      <c r="E66" s="121"/>
    </row>
    <row r="67" spans="2:5" x14ac:dyDescent="0.2">
      <c r="B67" s="122"/>
      <c r="C67" s="120"/>
      <c r="D67" s="120"/>
      <c r="E67" s="121"/>
    </row>
    <row r="68" spans="2:5" x14ac:dyDescent="0.2">
      <c r="B68" s="122"/>
      <c r="C68" s="120"/>
      <c r="D68" s="120"/>
      <c r="E68" s="121"/>
    </row>
    <row r="69" spans="2:5" x14ac:dyDescent="0.2">
      <c r="B69" s="122"/>
      <c r="C69" s="120"/>
      <c r="D69" s="120"/>
      <c r="E69" s="121"/>
    </row>
    <row r="70" spans="2:5" x14ac:dyDescent="0.2">
      <c r="B70" s="122"/>
      <c r="C70" s="120"/>
      <c r="D70" s="120"/>
      <c r="E70" s="121"/>
    </row>
    <row r="71" spans="2:5" x14ac:dyDescent="0.2">
      <c r="B71" s="122"/>
      <c r="C71" s="120"/>
      <c r="D71" s="120"/>
      <c r="E71" s="121"/>
    </row>
    <row r="72" spans="2:5" x14ac:dyDescent="0.2">
      <c r="B72" s="122"/>
      <c r="C72" s="120"/>
      <c r="D72" s="120"/>
      <c r="E72" s="121"/>
    </row>
    <row r="73" spans="2:5" x14ac:dyDescent="0.2">
      <c r="B73" s="122"/>
      <c r="C73" s="120"/>
      <c r="D73" s="120"/>
      <c r="E73" s="121"/>
    </row>
    <row r="74" spans="2:5" x14ac:dyDescent="0.2">
      <c r="B74" s="122"/>
      <c r="C74" s="120"/>
      <c r="D74" s="120"/>
      <c r="E74" s="121"/>
    </row>
    <row r="75" spans="2:5" x14ac:dyDescent="0.2">
      <c r="B75" s="122"/>
      <c r="C75" s="120"/>
      <c r="D75" s="120"/>
      <c r="E75" s="121"/>
    </row>
    <row r="76" spans="2:5" x14ac:dyDescent="0.2">
      <c r="B76" s="122"/>
      <c r="C76" s="120"/>
      <c r="D76" s="120"/>
      <c r="E76" s="121"/>
    </row>
    <row r="77" spans="2:5" x14ac:dyDescent="0.2">
      <c r="B77" s="122"/>
      <c r="C77" s="120"/>
      <c r="D77" s="120"/>
      <c r="E77" s="121"/>
    </row>
    <row r="78" spans="2:5" x14ac:dyDescent="0.2">
      <c r="B78" s="122"/>
      <c r="C78" s="120"/>
      <c r="D78" s="120"/>
      <c r="E78" s="121"/>
    </row>
    <row r="79" spans="2:5" x14ac:dyDescent="0.2">
      <c r="B79" s="122"/>
      <c r="C79" s="120"/>
      <c r="D79" s="120"/>
      <c r="E79" s="121"/>
    </row>
    <row r="80" spans="2:5" x14ac:dyDescent="0.2">
      <c r="B80" s="122"/>
      <c r="C80" s="120"/>
      <c r="D80" s="120"/>
      <c r="E80" s="121"/>
    </row>
    <row r="81" spans="2:5" x14ac:dyDescent="0.2">
      <c r="B81" s="122"/>
      <c r="C81" s="120"/>
      <c r="D81" s="120"/>
      <c r="E81" s="121"/>
    </row>
    <row r="82" spans="2:5" x14ac:dyDescent="0.2">
      <c r="B82" s="122"/>
      <c r="C82" s="120"/>
      <c r="D82" s="120"/>
      <c r="E82" s="121"/>
    </row>
    <row r="83" spans="2:5" x14ac:dyDescent="0.2">
      <c r="B83" s="122"/>
      <c r="C83" s="120"/>
      <c r="D83" s="120"/>
      <c r="E83" s="121"/>
    </row>
    <row r="84" spans="2:5" ht="13.5" x14ac:dyDescent="0.2">
      <c r="B84" s="122"/>
      <c r="C84" s="89" t="s">
        <v>641</v>
      </c>
      <c r="D84" s="120"/>
      <c r="E84" s="121"/>
    </row>
    <row r="85" spans="2:5" ht="13.5" x14ac:dyDescent="0.2">
      <c r="B85" s="122"/>
      <c r="C85" s="89" t="s">
        <v>642</v>
      </c>
      <c r="D85" s="120"/>
      <c r="E85" s="121"/>
    </row>
    <row r="86" spans="2:5" x14ac:dyDescent="0.2">
      <c r="B86" s="122"/>
      <c r="C86" s="120"/>
      <c r="D86" s="120"/>
      <c r="E86" s="121"/>
    </row>
    <row r="87" spans="2:5" x14ac:dyDescent="0.2">
      <c r="B87" s="122"/>
      <c r="C87" s="120"/>
      <c r="D87" s="120"/>
      <c r="E87" s="121"/>
    </row>
    <row r="88" spans="2:5" x14ac:dyDescent="0.2">
      <c r="B88" s="122"/>
      <c r="C88" s="120"/>
      <c r="D88" s="120"/>
      <c r="E88" s="121"/>
    </row>
    <row r="89" spans="2:5" x14ac:dyDescent="0.2">
      <c r="B89" s="122"/>
      <c r="C89" s="120"/>
      <c r="D89" s="120"/>
      <c r="E89" s="121"/>
    </row>
    <row r="90" spans="2:5" x14ac:dyDescent="0.2">
      <c r="B90" s="122"/>
      <c r="C90" s="120"/>
      <c r="D90" s="120"/>
      <c r="E90" s="121"/>
    </row>
    <row r="91" spans="2:5" x14ac:dyDescent="0.2">
      <c r="B91" s="122"/>
      <c r="C91" s="120"/>
      <c r="D91" s="120"/>
      <c r="E91" s="121"/>
    </row>
    <row r="92" spans="2:5" x14ac:dyDescent="0.2">
      <c r="B92" s="122"/>
      <c r="C92" s="120"/>
      <c r="D92" s="120"/>
      <c r="E92" s="121"/>
    </row>
    <row r="93" spans="2:5" x14ac:dyDescent="0.2">
      <c r="B93" s="122"/>
      <c r="C93" s="120"/>
      <c r="D93" s="120"/>
      <c r="E93" s="121"/>
    </row>
    <row r="94" spans="2:5" x14ac:dyDescent="0.2">
      <c r="B94" s="122"/>
      <c r="C94" s="120"/>
      <c r="D94" s="120"/>
      <c r="E94" s="121"/>
    </row>
    <row r="95" spans="2:5" x14ac:dyDescent="0.2">
      <c r="B95" s="122"/>
      <c r="C95" s="120"/>
      <c r="D95" s="120"/>
      <c r="E95" s="121"/>
    </row>
    <row r="96" spans="2:5" x14ac:dyDescent="0.2">
      <c r="B96" s="122"/>
      <c r="C96" s="120"/>
      <c r="D96" s="120"/>
      <c r="E96" s="121"/>
    </row>
    <row r="97" spans="2:5" x14ac:dyDescent="0.2">
      <c r="B97" s="122"/>
      <c r="C97" s="120"/>
      <c r="D97" s="120"/>
      <c r="E97" s="121"/>
    </row>
    <row r="98" spans="2:5" x14ac:dyDescent="0.2">
      <c r="B98" s="122"/>
      <c r="C98" s="120"/>
      <c r="D98" s="120"/>
      <c r="E98" s="121"/>
    </row>
    <row r="99" spans="2:5" x14ac:dyDescent="0.2">
      <c r="B99" s="122"/>
      <c r="C99" s="120"/>
      <c r="D99" s="120"/>
      <c r="E99" s="121"/>
    </row>
    <row r="100" spans="2:5" x14ac:dyDescent="0.2">
      <c r="B100" s="122"/>
      <c r="C100" s="120"/>
      <c r="D100" s="120"/>
      <c r="E100" s="121"/>
    </row>
    <row r="101" spans="2:5" x14ac:dyDescent="0.2">
      <c r="B101" s="122"/>
      <c r="C101" s="120"/>
      <c r="D101" s="120"/>
      <c r="E101" s="121"/>
    </row>
    <row r="102" spans="2:5" x14ac:dyDescent="0.2">
      <c r="B102" s="123"/>
      <c r="C102" s="124"/>
      <c r="D102" s="124"/>
      <c r="E102" s="125"/>
    </row>
  </sheetData>
  <mergeCells count="1">
    <mergeCell ref="P2:Q2"/>
  </mergeCells>
  <phoneticPr fontId="15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B2:V116"/>
  <sheetViews>
    <sheetView showGridLines="0" zoomScale="90" zoomScaleNormal="90" workbookViewId="0">
      <selection activeCell="D4" sqref="D4:D5"/>
    </sheetView>
  </sheetViews>
  <sheetFormatPr defaultRowHeight="12.75" x14ac:dyDescent="0.2"/>
  <cols>
    <col min="1" max="1" width="3.5703125" style="65" customWidth="1"/>
    <col min="2" max="2" width="15.5703125" style="65" bestFit="1" customWidth="1"/>
    <col min="3" max="3" width="35.7109375" style="65" customWidth="1"/>
    <col min="4" max="4" width="13.7109375" style="65" bestFit="1" customWidth="1"/>
    <col min="5" max="5" width="19.5703125" style="65" bestFit="1" customWidth="1"/>
    <col min="6" max="6" width="18.7109375" style="65" customWidth="1"/>
    <col min="7" max="7" width="19" style="65" customWidth="1"/>
    <col min="8" max="8" width="16.5703125" style="65" customWidth="1"/>
    <col min="9" max="9" width="13.7109375" style="65" bestFit="1" customWidth="1"/>
    <col min="10" max="10" width="17.85546875" style="65" customWidth="1"/>
    <col min="11" max="12" width="13.42578125" style="65" customWidth="1"/>
    <col min="13" max="13" width="10.140625" style="65" customWidth="1"/>
    <col min="14" max="14" width="15.5703125" style="65" customWidth="1"/>
    <col min="15" max="15" width="15.42578125" style="65" bestFit="1" customWidth="1"/>
    <col min="16" max="17" width="15.42578125" style="65" customWidth="1"/>
    <col min="18" max="18" width="23.5703125" style="65" bestFit="1" customWidth="1"/>
    <col min="19" max="19" width="17.42578125" style="65" bestFit="1" customWidth="1"/>
    <col min="20" max="26" width="9.140625" style="65"/>
    <col min="27" max="27" width="13.5703125" style="65" customWidth="1"/>
    <col min="28" max="16384" width="9.140625" style="65"/>
  </cols>
  <sheetData>
    <row r="2" spans="2:18" ht="13.5" x14ac:dyDescent="0.2">
      <c r="B2" s="360"/>
      <c r="C2" s="360"/>
      <c r="D2" s="388"/>
      <c r="E2" s="361"/>
      <c r="F2" s="360"/>
      <c r="G2" s="360"/>
      <c r="H2" s="362"/>
      <c r="I2" s="360"/>
      <c r="J2" s="360"/>
      <c r="K2" s="363"/>
      <c r="L2" s="362"/>
      <c r="M2" s="362"/>
      <c r="N2" s="362"/>
      <c r="O2" s="389" t="s">
        <v>372</v>
      </c>
      <c r="P2" s="389"/>
      <c r="Q2" s="389"/>
    </row>
    <row r="3" spans="2:18" ht="18" thickBot="1" x14ac:dyDescent="0.25">
      <c r="B3" s="8" t="s">
        <v>373</v>
      </c>
      <c r="C3" s="8" t="s">
        <v>374</v>
      </c>
      <c r="D3" s="390" t="s">
        <v>375</v>
      </c>
      <c r="E3" s="26" t="s">
        <v>376</v>
      </c>
      <c r="F3" s="11" t="s">
        <v>377</v>
      </c>
      <c r="G3" s="390" t="s">
        <v>378</v>
      </c>
      <c r="H3" s="390" t="s">
        <v>365</v>
      </c>
      <c r="I3" s="390" t="s">
        <v>379</v>
      </c>
      <c r="J3" s="10" t="s">
        <v>380</v>
      </c>
      <c r="K3" s="10" t="s">
        <v>381</v>
      </c>
      <c r="L3" s="10" t="s">
        <v>382</v>
      </c>
      <c r="M3" s="12" t="s">
        <v>383</v>
      </c>
      <c r="N3" s="391" t="s">
        <v>384</v>
      </c>
      <c r="O3" s="391" t="s">
        <v>370</v>
      </c>
      <c r="P3" s="391" t="s">
        <v>97</v>
      </c>
      <c r="Q3" s="391" t="s">
        <v>385</v>
      </c>
    </row>
    <row r="4" spans="2:18" ht="14.25" thickTop="1" x14ac:dyDescent="0.2">
      <c r="B4" s="365" t="s">
        <v>386</v>
      </c>
      <c r="C4" s="365" t="s">
        <v>7</v>
      </c>
      <c r="D4" s="392">
        <v>911.22081300000002</v>
      </c>
      <c r="E4" s="366">
        <f>IF(G4&gt;=D4,0,D4-G4)</f>
        <v>0</v>
      </c>
      <c r="F4" s="393">
        <f>((((H4*K4-J4-L4)*I4)*1000000))/1000000</f>
        <v>5354.197383288888</v>
      </c>
      <c r="G4" s="392">
        <f>((H4*K4-L4-J4)*I4)/(1+N4/100)^M4</f>
        <v>5149.504576377868</v>
      </c>
      <c r="H4" s="367">
        <v>457700</v>
      </c>
      <c r="I4" s="394">
        <f>911/27000</f>
        <v>3.3740740740740738E-2</v>
      </c>
      <c r="J4" s="367">
        <v>0</v>
      </c>
      <c r="K4" s="395">
        <v>0.34949999999999998</v>
      </c>
      <c r="L4" s="367">
        <f>H4*K4*0.008</f>
        <v>1279.7292</v>
      </c>
      <c r="M4" s="305">
        <v>1</v>
      </c>
      <c r="N4" s="396">
        <v>3.9750000000000001</v>
      </c>
      <c r="O4" s="397" t="s">
        <v>2</v>
      </c>
      <c r="P4" s="153">
        <f>IF(D4*7%&lt;E4,0,IF(E4/D4&lt;7%,D4*1.4%,D4*8.4%-E4))</f>
        <v>12.757091381999999</v>
      </c>
      <c r="Q4" s="153">
        <f>E4+P4</f>
        <v>12.757091381999999</v>
      </c>
      <c r="R4" s="65" t="s">
        <v>387</v>
      </c>
    </row>
    <row r="5" spans="2:18" ht="13.5" x14ac:dyDescent="0.2">
      <c r="B5" s="365" t="s">
        <v>6</v>
      </c>
      <c r="C5" s="365" t="s">
        <v>7</v>
      </c>
      <c r="D5" s="392">
        <v>10603.779187</v>
      </c>
      <c r="E5" s="366" t="str">
        <f>IF(G5&gt;=D5,"0",D5-G5)</f>
        <v>0</v>
      </c>
      <c r="F5" s="393">
        <f>((((H5*K5-J5-L5)*I5)*1000000))/1000000</f>
        <v>23045.123639999998</v>
      </c>
      <c r="G5" s="392">
        <f>((H5*K5-L5-J5)*I5)/(1+N5/100)^M5</f>
        <v>22164.10063957682</v>
      </c>
      <c r="H5" s="367">
        <v>457700</v>
      </c>
      <c r="I5" s="394">
        <f>700/4000</f>
        <v>0.17499999999999999</v>
      </c>
      <c r="J5" s="367">
        <v>27000</v>
      </c>
      <c r="K5" s="395">
        <f>+K4</f>
        <v>0.34949999999999998</v>
      </c>
      <c r="L5" s="367">
        <f>H5*K5*0.008</f>
        <v>1279.7292</v>
      </c>
      <c r="M5" s="305">
        <v>1</v>
      </c>
      <c r="N5" s="396">
        <v>3.9750000000000001</v>
      </c>
      <c r="O5" s="397" t="s">
        <v>388</v>
      </c>
      <c r="P5" s="153">
        <f>IF(D5*7%&lt;E5,0,IF(E5/D5&lt;7%,D5*1.4%,D5*8.4%-E5))</f>
        <v>0</v>
      </c>
      <c r="Q5" s="153">
        <f>E5+P5</f>
        <v>0</v>
      </c>
    </row>
    <row r="6" spans="2:18" x14ac:dyDescent="0.2">
      <c r="D6" s="144"/>
      <c r="E6" s="143"/>
      <c r="O6" s="104" t="s">
        <v>389</v>
      </c>
      <c r="P6" s="104"/>
      <c r="Q6" s="104"/>
    </row>
    <row r="7" spans="2:18" ht="13.5" x14ac:dyDescent="0.2">
      <c r="D7" s="86"/>
      <c r="E7" s="143"/>
      <c r="H7" s="398">
        <v>439489</v>
      </c>
    </row>
    <row r="8" spans="2:18" x14ac:dyDescent="0.2">
      <c r="E8" s="143"/>
    </row>
    <row r="10" spans="2:18" ht="16.5" x14ac:dyDescent="0.2">
      <c r="B10" s="370" t="s">
        <v>96</v>
      </c>
      <c r="C10" s="93"/>
      <c r="D10" s="117"/>
      <c r="E10" s="118"/>
      <c r="G10" s="370" t="s">
        <v>390</v>
      </c>
      <c r="H10" s="117"/>
      <c r="I10" s="117"/>
      <c r="J10" s="117"/>
      <c r="K10" s="117"/>
      <c r="L10" s="117"/>
      <c r="M10" s="117"/>
      <c r="N10" s="118"/>
    </row>
    <row r="11" spans="2:18" ht="16.5" x14ac:dyDescent="0.2">
      <c r="B11" s="399"/>
      <c r="C11" s="89" t="s">
        <v>391</v>
      </c>
      <c r="D11" s="120"/>
      <c r="E11" s="121"/>
      <c r="G11" s="90"/>
      <c r="H11" s="120"/>
      <c r="I11" s="120"/>
      <c r="J11" s="120"/>
      <c r="K11" s="120"/>
      <c r="L11" s="120"/>
      <c r="M11" s="120"/>
      <c r="N11" s="121"/>
    </row>
    <row r="12" spans="2:18" ht="13.5" x14ac:dyDescent="0.2">
      <c r="B12" s="122"/>
      <c r="C12" s="120"/>
      <c r="D12" s="120"/>
      <c r="E12" s="121"/>
      <c r="G12" s="90"/>
      <c r="H12" s="120"/>
      <c r="I12" s="120"/>
      <c r="J12" s="120"/>
      <c r="K12" s="120"/>
      <c r="L12" s="120"/>
      <c r="M12" s="120"/>
      <c r="N12" s="121"/>
    </row>
    <row r="13" spans="2:18" x14ac:dyDescent="0.2">
      <c r="B13" s="122"/>
      <c r="C13" s="120"/>
      <c r="D13" s="120"/>
      <c r="E13" s="121"/>
      <c r="F13" s="86"/>
      <c r="G13" s="122"/>
      <c r="H13" s="120"/>
      <c r="I13" s="120"/>
      <c r="J13" s="120"/>
      <c r="K13" s="120"/>
      <c r="L13" s="120"/>
      <c r="M13" s="120"/>
      <c r="N13" s="121"/>
    </row>
    <row r="14" spans="2:18" x14ac:dyDescent="0.2">
      <c r="B14" s="122"/>
      <c r="C14" s="120"/>
      <c r="D14" s="120"/>
      <c r="E14" s="121"/>
      <c r="G14" s="122"/>
      <c r="H14" s="120"/>
      <c r="I14" s="120"/>
      <c r="J14" s="120"/>
      <c r="K14" s="120"/>
      <c r="L14" s="120"/>
      <c r="M14" s="120"/>
      <c r="N14" s="121"/>
    </row>
    <row r="15" spans="2:18" x14ac:dyDescent="0.2">
      <c r="B15" s="122"/>
      <c r="C15" s="120"/>
      <c r="D15" s="120"/>
      <c r="E15" s="121"/>
      <c r="G15" s="122"/>
      <c r="H15" s="120"/>
      <c r="I15" s="120"/>
      <c r="J15" s="120"/>
      <c r="K15" s="120"/>
      <c r="L15" s="120"/>
      <c r="M15" s="120"/>
      <c r="N15" s="121"/>
    </row>
    <row r="16" spans="2:18" x14ac:dyDescent="0.2">
      <c r="B16" s="122"/>
      <c r="C16" s="120"/>
      <c r="D16" s="120"/>
      <c r="E16" s="121"/>
      <c r="G16" s="122"/>
      <c r="H16" s="120"/>
      <c r="I16" s="120"/>
      <c r="J16" s="120"/>
      <c r="K16" s="120"/>
      <c r="L16" s="120"/>
      <c r="M16" s="120"/>
      <c r="N16" s="121"/>
    </row>
    <row r="17" spans="2:14" x14ac:dyDescent="0.2">
      <c r="B17" s="122"/>
      <c r="C17" s="120"/>
      <c r="D17" s="120"/>
      <c r="E17" s="121"/>
      <c r="G17" s="122"/>
      <c r="H17" s="120"/>
      <c r="I17" s="120"/>
      <c r="J17" s="120"/>
      <c r="K17" s="120"/>
      <c r="L17" s="120"/>
      <c r="M17" s="120"/>
      <c r="N17" s="121"/>
    </row>
    <row r="18" spans="2:14" x14ac:dyDescent="0.2">
      <c r="B18" s="122"/>
      <c r="C18" s="120"/>
      <c r="D18" s="120"/>
      <c r="E18" s="121"/>
      <c r="G18" s="122"/>
      <c r="H18" s="120"/>
      <c r="I18" s="120"/>
      <c r="J18" s="120"/>
      <c r="K18" s="120"/>
      <c r="L18" s="120"/>
      <c r="M18" s="120"/>
      <c r="N18" s="121"/>
    </row>
    <row r="19" spans="2:14" x14ac:dyDescent="0.2">
      <c r="B19" s="122"/>
      <c r="C19" s="120"/>
      <c r="D19" s="120"/>
      <c r="E19" s="121"/>
      <c r="G19" s="122"/>
      <c r="H19" s="120"/>
      <c r="I19" s="120"/>
      <c r="J19" s="120"/>
      <c r="K19" s="120"/>
      <c r="L19" s="120"/>
      <c r="M19" s="120"/>
      <c r="N19" s="121"/>
    </row>
    <row r="20" spans="2:14" x14ac:dyDescent="0.2">
      <c r="B20" s="122"/>
      <c r="C20" s="120"/>
      <c r="D20" s="120"/>
      <c r="E20" s="121"/>
      <c r="G20" s="122"/>
      <c r="H20" s="120"/>
      <c r="I20" s="120"/>
      <c r="J20" s="120"/>
      <c r="K20" s="120"/>
      <c r="L20" s="120"/>
      <c r="M20" s="120"/>
      <c r="N20" s="121"/>
    </row>
    <row r="21" spans="2:14" x14ac:dyDescent="0.2">
      <c r="B21" s="122"/>
      <c r="C21" s="120"/>
      <c r="D21" s="120"/>
      <c r="E21" s="121"/>
      <c r="G21" s="122"/>
      <c r="H21" s="120"/>
      <c r="I21" s="120"/>
      <c r="J21" s="120"/>
      <c r="K21" s="120"/>
      <c r="L21" s="120"/>
      <c r="M21" s="120"/>
      <c r="N21" s="121"/>
    </row>
    <row r="22" spans="2:14" x14ac:dyDescent="0.2">
      <c r="B22" s="122"/>
      <c r="C22" s="120"/>
      <c r="D22" s="120"/>
      <c r="E22" s="121"/>
      <c r="G22" s="122"/>
      <c r="H22" s="120"/>
      <c r="I22" s="120"/>
      <c r="J22" s="120"/>
      <c r="K22" s="120"/>
      <c r="L22" s="120"/>
      <c r="M22" s="120"/>
      <c r="N22" s="121"/>
    </row>
    <row r="23" spans="2:14" x14ac:dyDescent="0.2">
      <c r="B23" s="122"/>
      <c r="C23" s="120"/>
      <c r="D23" s="120"/>
      <c r="E23" s="121"/>
      <c r="G23" s="122"/>
      <c r="H23" s="120"/>
      <c r="I23" s="120"/>
      <c r="J23" s="120"/>
      <c r="K23" s="120"/>
      <c r="L23" s="120"/>
      <c r="M23" s="120"/>
      <c r="N23" s="121"/>
    </row>
    <row r="24" spans="2:14" x14ac:dyDescent="0.2">
      <c r="B24" s="122"/>
      <c r="C24" s="120"/>
      <c r="D24" s="120"/>
      <c r="E24" s="121"/>
      <c r="G24" s="122"/>
      <c r="H24" s="120"/>
      <c r="I24" s="120"/>
      <c r="J24" s="120"/>
      <c r="K24" s="120"/>
      <c r="L24" s="120"/>
      <c r="M24" s="120"/>
      <c r="N24" s="121"/>
    </row>
    <row r="25" spans="2:14" x14ac:dyDescent="0.2">
      <c r="B25" s="122"/>
      <c r="C25" s="120"/>
      <c r="D25" s="120"/>
      <c r="E25" s="121"/>
      <c r="G25" s="122"/>
      <c r="H25" s="120"/>
      <c r="I25" s="120"/>
      <c r="J25" s="120"/>
      <c r="K25" s="120"/>
      <c r="L25" s="120"/>
      <c r="M25" s="120"/>
      <c r="N25" s="121"/>
    </row>
    <row r="26" spans="2:14" x14ac:dyDescent="0.2">
      <c r="B26" s="122"/>
      <c r="C26" s="120"/>
      <c r="D26" s="120"/>
      <c r="E26" s="121"/>
      <c r="G26" s="122"/>
      <c r="H26" s="120"/>
      <c r="I26" s="120"/>
      <c r="J26" s="120"/>
      <c r="K26" s="120"/>
      <c r="L26" s="120"/>
      <c r="M26" s="120"/>
      <c r="N26" s="121"/>
    </row>
    <row r="27" spans="2:14" x14ac:dyDescent="0.2">
      <c r="B27" s="122"/>
      <c r="C27" s="120"/>
      <c r="D27" s="120"/>
      <c r="E27" s="121"/>
      <c r="G27" s="122"/>
      <c r="H27" s="120"/>
      <c r="I27" s="120"/>
      <c r="J27" s="120"/>
      <c r="K27" s="120"/>
      <c r="L27" s="120"/>
      <c r="M27" s="120"/>
      <c r="N27" s="121"/>
    </row>
    <row r="28" spans="2:14" x14ac:dyDescent="0.2">
      <c r="B28" s="122"/>
      <c r="C28" s="120"/>
      <c r="D28" s="120"/>
      <c r="E28" s="121"/>
      <c r="G28" s="122"/>
      <c r="H28" s="120"/>
      <c r="I28" s="120"/>
      <c r="J28" s="120"/>
      <c r="K28" s="120"/>
      <c r="L28" s="120"/>
      <c r="M28" s="120"/>
      <c r="N28" s="121"/>
    </row>
    <row r="29" spans="2:14" x14ac:dyDescent="0.2">
      <c r="B29" s="122"/>
      <c r="C29" s="120"/>
      <c r="D29" s="120"/>
      <c r="E29" s="121"/>
      <c r="G29" s="122"/>
      <c r="H29" s="120"/>
      <c r="I29" s="120"/>
      <c r="J29" s="120"/>
      <c r="K29" s="120"/>
      <c r="L29" s="120"/>
      <c r="M29" s="120"/>
      <c r="N29" s="121"/>
    </row>
    <row r="30" spans="2:14" x14ac:dyDescent="0.2">
      <c r="B30" s="122"/>
      <c r="C30" s="120"/>
      <c r="D30" s="120"/>
      <c r="E30" s="121"/>
      <c r="G30" s="122"/>
      <c r="H30" s="120"/>
      <c r="I30" s="120"/>
      <c r="J30" s="120"/>
      <c r="K30" s="120"/>
      <c r="L30" s="120"/>
      <c r="M30" s="120"/>
      <c r="N30" s="121"/>
    </row>
    <row r="31" spans="2:14" x14ac:dyDescent="0.2">
      <c r="B31" s="122"/>
      <c r="C31" s="120"/>
      <c r="D31" s="120"/>
      <c r="E31" s="121"/>
      <c r="G31" s="122"/>
      <c r="H31" s="120"/>
      <c r="I31" s="120"/>
      <c r="J31" s="120"/>
      <c r="K31" s="120"/>
      <c r="L31" s="120"/>
      <c r="M31" s="120"/>
      <c r="N31" s="121"/>
    </row>
    <row r="32" spans="2:14" x14ac:dyDescent="0.2">
      <c r="B32" s="122"/>
      <c r="C32" s="120"/>
      <c r="D32" s="120"/>
      <c r="E32" s="121"/>
      <c r="G32" s="122"/>
      <c r="H32" s="120"/>
      <c r="I32" s="120"/>
      <c r="J32" s="120"/>
      <c r="K32" s="120"/>
      <c r="L32" s="120"/>
      <c r="M32" s="120"/>
      <c r="N32" s="121"/>
    </row>
    <row r="33" spans="2:17" x14ac:dyDescent="0.2">
      <c r="B33" s="122"/>
      <c r="C33" s="120"/>
      <c r="D33" s="120"/>
      <c r="E33" s="121"/>
      <c r="G33" s="122"/>
      <c r="H33" s="120"/>
      <c r="I33" s="120"/>
      <c r="J33" s="120"/>
      <c r="K33" s="120"/>
      <c r="L33" s="120"/>
      <c r="M33" s="120"/>
      <c r="N33" s="121"/>
      <c r="O33" s="150" t="s">
        <v>392</v>
      </c>
      <c r="P33" s="150"/>
      <c r="Q33" s="150"/>
    </row>
    <row r="34" spans="2:17" x14ac:dyDescent="0.2">
      <c r="B34" s="122"/>
      <c r="C34" s="120"/>
      <c r="D34" s="120"/>
      <c r="E34" s="121"/>
      <c r="G34" s="122"/>
      <c r="H34" s="120"/>
      <c r="I34" s="120"/>
      <c r="J34" s="120"/>
      <c r="K34" s="120"/>
      <c r="L34" s="120"/>
      <c r="M34" s="120"/>
      <c r="N34" s="121"/>
    </row>
    <row r="35" spans="2:17" x14ac:dyDescent="0.2">
      <c r="B35" s="122"/>
      <c r="C35" s="120"/>
      <c r="D35" s="120"/>
      <c r="E35" s="121"/>
      <c r="G35" s="122"/>
      <c r="H35" s="120"/>
      <c r="I35" s="120"/>
      <c r="J35" s="120"/>
      <c r="K35" s="120"/>
      <c r="L35" s="120"/>
      <c r="M35" s="120"/>
      <c r="N35" s="121"/>
    </row>
    <row r="36" spans="2:17" x14ac:dyDescent="0.2">
      <c r="B36" s="122"/>
      <c r="C36" s="120"/>
      <c r="D36" s="120"/>
      <c r="E36" s="121"/>
      <c r="G36" s="122"/>
      <c r="H36" s="120"/>
      <c r="I36" s="120"/>
      <c r="J36" s="120"/>
      <c r="K36" s="120"/>
      <c r="L36" s="120"/>
      <c r="M36" s="120"/>
      <c r="N36" s="121"/>
    </row>
    <row r="37" spans="2:17" x14ac:dyDescent="0.2">
      <c r="B37" s="122"/>
      <c r="C37" s="120"/>
      <c r="D37" s="120"/>
      <c r="E37" s="121"/>
      <c r="G37" s="122"/>
      <c r="H37" s="120"/>
      <c r="I37" s="120"/>
      <c r="J37" s="120"/>
      <c r="K37" s="120"/>
      <c r="L37" s="120"/>
      <c r="M37" s="120"/>
      <c r="N37" s="121"/>
    </row>
    <row r="38" spans="2:17" x14ac:dyDescent="0.2">
      <c r="B38" s="122"/>
      <c r="C38" s="120"/>
      <c r="D38" s="120"/>
      <c r="E38" s="121"/>
      <c r="G38" s="122"/>
      <c r="H38" s="120"/>
      <c r="I38" s="120"/>
      <c r="J38" s="120"/>
      <c r="K38" s="120"/>
      <c r="L38" s="120"/>
      <c r="M38" s="120"/>
      <c r="N38" s="121"/>
    </row>
    <row r="39" spans="2:17" x14ac:dyDescent="0.2">
      <c r="B39" s="123"/>
      <c r="C39" s="124"/>
      <c r="D39" s="124"/>
      <c r="E39" s="125"/>
      <c r="G39" s="122"/>
      <c r="H39" s="120"/>
      <c r="I39" s="120"/>
      <c r="J39" s="120"/>
      <c r="K39" s="120"/>
      <c r="L39" s="120"/>
      <c r="M39" s="120"/>
      <c r="N39" s="121"/>
    </row>
    <row r="40" spans="2:17" x14ac:dyDescent="0.2">
      <c r="G40" s="123"/>
      <c r="H40" s="124"/>
      <c r="I40" s="124"/>
      <c r="J40" s="124"/>
      <c r="K40" s="124"/>
      <c r="L40" s="124"/>
      <c r="M40" s="124"/>
      <c r="N40" s="125"/>
    </row>
    <row r="41" spans="2:17" ht="16.5" x14ac:dyDescent="0.2">
      <c r="B41" s="370" t="s">
        <v>393</v>
      </c>
      <c r="C41" s="117"/>
      <c r="D41" s="117"/>
      <c r="E41" s="118"/>
    </row>
    <row r="42" spans="2:17" ht="16.5" x14ac:dyDescent="0.2">
      <c r="B42" s="122"/>
      <c r="C42" s="400"/>
      <c r="D42" s="120"/>
      <c r="E42" s="121"/>
      <c r="G42" s="401" t="s">
        <v>394</v>
      </c>
      <c r="H42" s="120"/>
      <c r="I42" s="120"/>
      <c r="J42" s="120"/>
      <c r="K42" s="120"/>
      <c r="L42" s="120"/>
      <c r="M42" s="120"/>
      <c r="N42" s="120"/>
    </row>
    <row r="43" spans="2:17" ht="13.5" x14ac:dyDescent="0.2">
      <c r="B43" s="122"/>
      <c r="C43" s="89"/>
      <c r="D43" s="120"/>
      <c r="E43" s="121"/>
    </row>
    <row r="44" spans="2:17" x14ac:dyDescent="0.2">
      <c r="B44" s="122"/>
      <c r="C44" s="120"/>
      <c r="D44" s="120"/>
      <c r="E44" s="121"/>
    </row>
    <row r="45" spans="2:17" x14ac:dyDescent="0.2">
      <c r="B45" s="122"/>
      <c r="C45" s="120"/>
      <c r="D45" s="120"/>
      <c r="E45" s="121"/>
    </row>
    <row r="46" spans="2:17" x14ac:dyDescent="0.2">
      <c r="B46" s="122"/>
      <c r="C46" s="120"/>
      <c r="D46" s="120"/>
      <c r="E46" s="121"/>
    </row>
    <row r="47" spans="2:17" x14ac:dyDescent="0.2">
      <c r="B47" s="122"/>
      <c r="C47" s="120"/>
      <c r="D47" s="120"/>
      <c r="E47" s="121"/>
    </row>
    <row r="48" spans="2:17" x14ac:dyDescent="0.2">
      <c r="B48" s="122"/>
      <c r="C48" s="120"/>
      <c r="D48" s="120"/>
      <c r="E48" s="121"/>
    </row>
    <row r="49" spans="2:22" x14ac:dyDescent="0.2">
      <c r="B49" s="122"/>
      <c r="C49" s="120"/>
      <c r="D49" s="120"/>
      <c r="E49" s="121"/>
    </row>
    <row r="50" spans="2:22" x14ac:dyDescent="0.2">
      <c r="B50" s="122"/>
      <c r="C50" s="120"/>
      <c r="D50" s="120"/>
      <c r="E50" s="121"/>
    </row>
    <row r="51" spans="2:22" x14ac:dyDescent="0.2">
      <c r="B51" s="122"/>
      <c r="C51" s="120"/>
      <c r="D51" s="120"/>
      <c r="E51" s="121"/>
      <c r="V51" s="65" t="s">
        <v>395</v>
      </c>
    </row>
    <row r="52" spans="2:22" x14ac:dyDescent="0.2">
      <c r="B52" s="122"/>
      <c r="C52" s="120"/>
      <c r="D52" s="120"/>
      <c r="E52" s="121"/>
    </row>
    <row r="53" spans="2:22" x14ac:dyDescent="0.2">
      <c r="B53" s="122"/>
      <c r="C53" s="120"/>
      <c r="D53" s="120"/>
      <c r="E53" s="121"/>
    </row>
    <row r="54" spans="2:22" x14ac:dyDescent="0.2">
      <c r="B54" s="122"/>
      <c r="C54" s="120"/>
      <c r="D54" s="120"/>
      <c r="E54" s="121"/>
    </row>
    <row r="55" spans="2:22" x14ac:dyDescent="0.2">
      <c r="B55" s="122"/>
      <c r="C55" s="120"/>
      <c r="D55" s="120"/>
      <c r="E55" s="121"/>
    </row>
    <row r="56" spans="2:22" x14ac:dyDescent="0.2">
      <c r="B56" s="122"/>
      <c r="C56" s="120"/>
      <c r="D56" s="120"/>
      <c r="E56" s="121"/>
    </row>
    <row r="57" spans="2:22" x14ac:dyDescent="0.2">
      <c r="B57" s="122"/>
      <c r="C57" s="120"/>
      <c r="D57" s="120"/>
      <c r="E57" s="121"/>
    </row>
    <row r="58" spans="2:22" x14ac:dyDescent="0.2">
      <c r="B58" s="122"/>
      <c r="C58" s="120"/>
      <c r="D58" s="120"/>
      <c r="E58" s="121"/>
    </row>
    <row r="59" spans="2:22" x14ac:dyDescent="0.2">
      <c r="B59" s="122"/>
      <c r="C59" s="120"/>
      <c r="D59" s="120"/>
      <c r="E59" s="121"/>
    </row>
    <row r="60" spans="2:22" x14ac:dyDescent="0.2">
      <c r="B60" s="122"/>
      <c r="C60" s="120"/>
      <c r="D60" s="120"/>
      <c r="E60" s="121"/>
    </row>
    <row r="61" spans="2:22" x14ac:dyDescent="0.2">
      <c r="B61" s="122"/>
      <c r="C61" s="120"/>
      <c r="D61" s="120"/>
      <c r="E61" s="121"/>
    </row>
    <row r="62" spans="2:22" x14ac:dyDescent="0.2">
      <c r="B62" s="122"/>
      <c r="C62" s="120"/>
      <c r="D62" s="120"/>
      <c r="E62" s="121"/>
    </row>
    <row r="63" spans="2:22" x14ac:dyDescent="0.2">
      <c r="B63" s="122"/>
      <c r="C63" s="120"/>
      <c r="D63" s="120"/>
      <c r="E63" s="121"/>
    </row>
    <row r="64" spans="2:22" ht="13.5" x14ac:dyDescent="0.2">
      <c r="B64" s="122"/>
      <c r="C64" s="89"/>
      <c r="D64" s="120"/>
      <c r="E64" s="121"/>
    </row>
    <row r="65" spans="2:5" ht="13.5" x14ac:dyDescent="0.2">
      <c r="B65" s="122"/>
      <c r="C65" s="89"/>
      <c r="D65" s="120"/>
      <c r="E65" s="121"/>
    </row>
    <row r="66" spans="2:5" x14ac:dyDescent="0.2">
      <c r="B66" s="122"/>
      <c r="C66" s="120"/>
      <c r="D66" s="120"/>
      <c r="E66" s="121"/>
    </row>
    <row r="67" spans="2:5" x14ac:dyDescent="0.2">
      <c r="B67" s="122"/>
      <c r="C67" s="120"/>
      <c r="D67" s="120"/>
      <c r="E67" s="121"/>
    </row>
    <row r="68" spans="2:5" x14ac:dyDescent="0.2">
      <c r="B68" s="122"/>
      <c r="C68" s="120"/>
      <c r="D68" s="120"/>
      <c r="E68" s="121"/>
    </row>
    <row r="69" spans="2:5" x14ac:dyDescent="0.2">
      <c r="B69" s="122"/>
      <c r="C69" s="120"/>
      <c r="D69" s="120"/>
      <c r="E69" s="121"/>
    </row>
    <row r="70" spans="2:5" x14ac:dyDescent="0.2">
      <c r="B70" s="122"/>
      <c r="C70" s="120"/>
      <c r="D70" s="120"/>
      <c r="E70" s="121"/>
    </row>
    <row r="71" spans="2:5" x14ac:dyDescent="0.2">
      <c r="B71" s="122"/>
      <c r="C71" s="120"/>
      <c r="D71" s="120"/>
      <c r="E71" s="121"/>
    </row>
    <row r="72" spans="2:5" x14ac:dyDescent="0.2">
      <c r="B72" s="122"/>
      <c r="C72" s="120"/>
      <c r="D72" s="120"/>
      <c r="E72" s="121"/>
    </row>
    <row r="73" spans="2:5" x14ac:dyDescent="0.2">
      <c r="B73" s="122"/>
      <c r="C73" s="120"/>
      <c r="D73" s="120"/>
      <c r="E73" s="121"/>
    </row>
    <row r="74" spans="2:5" x14ac:dyDescent="0.2">
      <c r="B74" s="122"/>
      <c r="C74" s="120"/>
      <c r="D74" s="120"/>
      <c r="E74" s="121"/>
    </row>
    <row r="75" spans="2:5" x14ac:dyDescent="0.2">
      <c r="B75" s="122"/>
      <c r="C75" s="120"/>
      <c r="D75" s="120"/>
      <c r="E75" s="121"/>
    </row>
    <row r="76" spans="2:5" x14ac:dyDescent="0.2">
      <c r="B76" s="122"/>
      <c r="C76" s="120"/>
      <c r="D76" s="120"/>
      <c r="E76" s="121"/>
    </row>
    <row r="77" spans="2:5" x14ac:dyDescent="0.2">
      <c r="B77" s="122"/>
      <c r="C77" s="120"/>
      <c r="D77" s="120"/>
      <c r="E77" s="121"/>
    </row>
    <row r="78" spans="2:5" x14ac:dyDescent="0.2">
      <c r="B78" s="122"/>
      <c r="C78" s="120"/>
      <c r="D78" s="120"/>
      <c r="E78" s="121"/>
    </row>
    <row r="79" spans="2:5" x14ac:dyDescent="0.2">
      <c r="B79" s="122"/>
      <c r="C79" s="120"/>
      <c r="D79" s="120"/>
      <c r="E79" s="121"/>
    </row>
    <row r="80" spans="2:5" x14ac:dyDescent="0.2">
      <c r="B80" s="122"/>
      <c r="C80" s="120"/>
      <c r="D80" s="120"/>
      <c r="E80" s="121"/>
    </row>
    <row r="81" spans="2:5" x14ac:dyDescent="0.2">
      <c r="B81" s="122"/>
      <c r="C81" s="120"/>
      <c r="D81" s="120"/>
      <c r="E81" s="121"/>
    </row>
    <row r="82" spans="2:5" x14ac:dyDescent="0.2">
      <c r="B82" s="122"/>
      <c r="C82" s="120"/>
      <c r="D82" s="120"/>
      <c r="E82" s="121"/>
    </row>
    <row r="83" spans="2:5" x14ac:dyDescent="0.2">
      <c r="B83" s="122"/>
      <c r="C83" s="120"/>
      <c r="D83" s="120"/>
      <c r="E83" s="121"/>
    </row>
    <row r="84" spans="2:5" x14ac:dyDescent="0.2">
      <c r="B84" s="122"/>
      <c r="C84" s="120"/>
      <c r="D84" s="120"/>
      <c r="E84" s="121"/>
    </row>
    <row r="85" spans="2:5" x14ac:dyDescent="0.2">
      <c r="B85" s="122"/>
      <c r="C85" s="120"/>
      <c r="D85" s="120"/>
      <c r="E85" s="121"/>
    </row>
    <row r="86" spans="2:5" x14ac:dyDescent="0.2">
      <c r="B86" s="122"/>
      <c r="C86" s="120"/>
      <c r="D86" s="120"/>
      <c r="E86" s="121"/>
    </row>
    <row r="87" spans="2:5" x14ac:dyDescent="0.2">
      <c r="B87" s="122"/>
      <c r="C87" s="120"/>
      <c r="D87" s="120"/>
      <c r="E87" s="121"/>
    </row>
    <row r="88" spans="2:5" x14ac:dyDescent="0.2">
      <c r="B88" s="122"/>
      <c r="C88" s="120"/>
      <c r="D88" s="120"/>
      <c r="E88" s="121"/>
    </row>
    <row r="89" spans="2:5" x14ac:dyDescent="0.2">
      <c r="B89" s="122"/>
      <c r="C89" s="120"/>
      <c r="D89" s="120"/>
      <c r="E89" s="121"/>
    </row>
    <row r="90" spans="2:5" x14ac:dyDescent="0.2">
      <c r="B90" s="122"/>
      <c r="C90" s="120"/>
      <c r="D90" s="120"/>
      <c r="E90" s="121"/>
    </row>
    <row r="91" spans="2:5" x14ac:dyDescent="0.2">
      <c r="B91" s="122"/>
      <c r="C91" s="120"/>
      <c r="D91" s="120"/>
      <c r="E91" s="121"/>
    </row>
    <row r="92" spans="2:5" x14ac:dyDescent="0.2">
      <c r="B92" s="122"/>
      <c r="C92" s="120"/>
      <c r="D92" s="120"/>
      <c r="E92" s="121"/>
    </row>
    <row r="93" spans="2:5" x14ac:dyDescent="0.2">
      <c r="B93" s="122"/>
      <c r="C93" s="120"/>
      <c r="D93" s="120"/>
      <c r="E93" s="121"/>
    </row>
    <row r="94" spans="2:5" x14ac:dyDescent="0.2">
      <c r="B94" s="122"/>
      <c r="C94" s="120"/>
      <c r="D94" s="120"/>
      <c r="E94" s="121"/>
    </row>
    <row r="95" spans="2:5" ht="13.5" x14ac:dyDescent="0.2">
      <c r="B95" s="122"/>
      <c r="C95" s="142"/>
      <c r="D95" s="120"/>
      <c r="E95" s="121"/>
    </row>
    <row r="96" spans="2:5" ht="13.5" x14ac:dyDescent="0.2">
      <c r="B96" s="122"/>
      <c r="C96" s="89"/>
      <c r="D96" s="120"/>
      <c r="E96" s="121"/>
    </row>
    <row r="97" spans="2:5" ht="13.5" x14ac:dyDescent="0.2">
      <c r="B97" s="122"/>
      <c r="C97" s="89"/>
      <c r="D97" s="120"/>
      <c r="E97" s="121"/>
    </row>
    <row r="98" spans="2:5" ht="13.5" x14ac:dyDescent="0.2">
      <c r="B98" s="122"/>
      <c r="C98" s="89"/>
      <c r="D98" s="120"/>
      <c r="E98" s="121"/>
    </row>
    <row r="99" spans="2:5" ht="13.5" x14ac:dyDescent="0.2">
      <c r="B99" s="122"/>
      <c r="C99" s="89"/>
      <c r="D99" s="120"/>
      <c r="E99" s="121"/>
    </row>
    <row r="100" spans="2:5" ht="13.5" x14ac:dyDescent="0.2">
      <c r="B100" s="122"/>
      <c r="C100" s="89"/>
      <c r="D100" s="120"/>
      <c r="E100" s="121"/>
    </row>
    <row r="101" spans="2:5" ht="13.5" x14ac:dyDescent="0.2">
      <c r="B101" s="122"/>
      <c r="C101" s="89"/>
      <c r="D101" s="120"/>
      <c r="E101" s="121"/>
    </row>
    <row r="102" spans="2:5" ht="13.5" x14ac:dyDescent="0.2">
      <c r="B102" s="122"/>
      <c r="C102" s="89"/>
      <c r="D102" s="120"/>
      <c r="E102" s="121"/>
    </row>
    <row r="103" spans="2:5" ht="13.5" x14ac:dyDescent="0.2">
      <c r="B103" s="122"/>
      <c r="C103" s="89"/>
      <c r="D103" s="120"/>
      <c r="E103" s="121"/>
    </row>
    <row r="104" spans="2:5" x14ac:dyDescent="0.2">
      <c r="B104" s="122"/>
      <c r="C104" s="120"/>
      <c r="D104" s="120"/>
      <c r="E104" s="121"/>
    </row>
    <row r="105" spans="2:5" x14ac:dyDescent="0.2">
      <c r="B105" s="122"/>
      <c r="C105" s="120"/>
      <c r="D105" s="120"/>
      <c r="E105" s="121"/>
    </row>
    <row r="106" spans="2:5" x14ac:dyDescent="0.2">
      <c r="B106" s="122"/>
      <c r="C106" s="120"/>
      <c r="D106" s="120"/>
      <c r="E106" s="121"/>
    </row>
    <row r="107" spans="2:5" x14ac:dyDescent="0.2">
      <c r="B107" s="122"/>
      <c r="C107" s="120"/>
      <c r="D107" s="120"/>
      <c r="E107" s="121"/>
    </row>
    <row r="108" spans="2:5" x14ac:dyDescent="0.2">
      <c r="B108" s="122"/>
      <c r="C108" s="120"/>
      <c r="D108" s="120"/>
      <c r="E108" s="121"/>
    </row>
    <row r="109" spans="2:5" x14ac:dyDescent="0.2">
      <c r="B109" s="122"/>
      <c r="C109" s="120"/>
      <c r="D109" s="120"/>
      <c r="E109" s="121"/>
    </row>
    <row r="110" spans="2:5" x14ac:dyDescent="0.2">
      <c r="B110" s="122"/>
      <c r="C110" s="120"/>
      <c r="D110" s="120"/>
      <c r="E110" s="121"/>
    </row>
    <row r="111" spans="2:5" x14ac:dyDescent="0.2">
      <c r="B111" s="122"/>
      <c r="C111" s="120"/>
      <c r="D111" s="120"/>
      <c r="E111" s="121"/>
    </row>
    <row r="112" spans="2:5" x14ac:dyDescent="0.2">
      <c r="B112" s="122"/>
      <c r="C112" s="120"/>
      <c r="D112" s="120"/>
      <c r="E112" s="121"/>
    </row>
    <row r="113" spans="2:5" x14ac:dyDescent="0.2">
      <c r="B113" s="122"/>
      <c r="C113" s="120"/>
      <c r="D113" s="120"/>
      <c r="E113" s="121"/>
    </row>
    <row r="114" spans="2:5" x14ac:dyDescent="0.2">
      <c r="B114" s="122"/>
      <c r="C114" s="120"/>
      <c r="D114" s="120"/>
      <c r="E114" s="121"/>
    </row>
    <row r="115" spans="2:5" x14ac:dyDescent="0.2">
      <c r="B115" s="122"/>
      <c r="C115" s="120"/>
      <c r="D115" s="120"/>
      <c r="E115" s="121"/>
    </row>
    <row r="116" spans="2:5" x14ac:dyDescent="0.2">
      <c r="B116" s="123"/>
      <c r="C116" s="124"/>
      <c r="D116" s="124"/>
      <c r="E116" s="125"/>
    </row>
  </sheetData>
  <phoneticPr fontId="15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Y84"/>
  <sheetViews>
    <sheetView showGridLines="0" zoomScale="80" zoomScaleNormal="80" workbookViewId="0">
      <selection activeCell="G4" sqref="G4"/>
    </sheetView>
  </sheetViews>
  <sheetFormatPr defaultRowHeight="12.75" x14ac:dyDescent="0.2"/>
  <cols>
    <col min="1" max="1" width="2.28515625" style="65" customWidth="1"/>
    <col min="2" max="2" width="14.85546875" style="65" customWidth="1"/>
    <col min="3" max="3" width="30.5703125" style="65" bestFit="1" customWidth="1"/>
    <col min="4" max="4" width="13.42578125" style="65" bestFit="1" customWidth="1"/>
    <col min="5" max="5" width="19" style="65" bestFit="1" customWidth="1"/>
    <col min="6" max="6" width="16.42578125" style="65" bestFit="1" customWidth="1"/>
    <col min="7" max="7" width="21.140625" style="65" bestFit="1" customWidth="1"/>
    <col min="8" max="8" width="20.5703125" style="65" bestFit="1" customWidth="1"/>
    <col min="9" max="9" width="10.5703125" style="65" customWidth="1"/>
    <col min="10" max="10" width="13.85546875" style="65" bestFit="1" customWidth="1"/>
    <col min="11" max="12" width="11.28515625" style="65" bestFit="1" customWidth="1"/>
    <col min="13" max="13" width="6.5703125" style="65" bestFit="1" customWidth="1"/>
    <col min="14" max="14" width="7.42578125" style="65" bestFit="1" customWidth="1"/>
    <col min="15" max="15" width="68.7109375" style="65" customWidth="1"/>
    <col min="16" max="16" width="5" style="65" customWidth="1"/>
    <col min="17" max="17" width="25.5703125" style="65" customWidth="1"/>
    <col min="18" max="18" width="24.42578125" style="65" customWidth="1"/>
    <col min="19" max="19" width="48.28515625" style="65" customWidth="1"/>
    <col min="20" max="20" width="82.85546875" style="65" customWidth="1"/>
    <col min="21" max="16384" width="9.140625" style="65"/>
  </cols>
  <sheetData>
    <row r="2" spans="2:20" ht="17.25" customHeight="1" x14ac:dyDescent="0.2">
      <c r="B2" s="104"/>
      <c r="E2" s="4"/>
      <c r="F2" s="2"/>
      <c r="G2" s="2"/>
      <c r="H2" s="5"/>
      <c r="I2" s="2"/>
      <c r="J2" s="2"/>
      <c r="K2" s="6"/>
      <c r="L2" s="5"/>
      <c r="M2" s="5"/>
      <c r="O2" s="7" t="s">
        <v>643</v>
      </c>
    </row>
    <row r="3" spans="2:20" ht="18" thickBot="1" x14ac:dyDescent="0.25">
      <c r="B3" s="8" t="s">
        <v>644</v>
      </c>
      <c r="C3" s="8" t="s">
        <v>645</v>
      </c>
      <c r="D3" s="402" t="s">
        <v>298</v>
      </c>
      <c r="E3" s="26" t="s">
        <v>646</v>
      </c>
      <c r="F3" s="11" t="s">
        <v>647</v>
      </c>
      <c r="G3" s="402" t="s">
        <v>648</v>
      </c>
      <c r="H3" s="402" t="s">
        <v>649</v>
      </c>
      <c r="I3" s="402" t="s">
        <v>650</v>
      </c>
      <c r="J3" s="10" t="s">
        <v>651</v>
      </c>
      <c r="K3" s="10" t="s">
        <v>652</v>
      </c>
      <c r="L3" s="10" t="s">
        <v>653</v>
      </c>
      <c r="M3" s="12" t="s">
        <v>654</v>
      </c>
      <c r="N3" s="403" t="s">
        <v>655</v>
      </c>
      <c r="O3" s="403" t="s">
        <v>656</v>
      </c>
    </row>
    <row r="4" spans="2:20" ht="216.75" thickTop="1" x14ac:dyDescent="0.2">
      <c r="B4" s="404" t="s">
        <v>3</v>
      </c>
      <c r="C4" s="405" t="s">
        <v>5</v>
      </c>
      <c r="D4" s="406">
        <v>25308.75</v>
      </c>
      <c r="E4" s="17">
        <f>IF(G4&gt;=D4,"0",D4-G4)</f>
        <v>2502.466776357167</v>
      </c>
      <c r="F4" s="407">
        <f t="shared" ref="F4" si="0">((((H4*K4-J4-L4)*I4)*1000000))/1000000</f>
        <v>24973.25</v>
      </c>
      <c r="G4" s="406">
        <f t="shared" ref="G4" si="1">((H4*K4-L4-J4)*I4)/(1+N4/100)^M4</f>
        <v>22806.283223642833</v>
      </c>
      <c r="H4" s="408">
        <f>D4</f>
        <v>25308.75</v>
      </c>
      <c r="I4" s="409">
        <v>1</v>
      </c>
      <c r="J4" s="410">
        <v>0</v>
      </c>
      <c r="K4" s="409">
        <v>1</v>
      </c>
      <c r="L4" s="408">
        <f>(180*1.1)+(125*1.1)</f>
        <v>335.5</v>
      </c>
      <c r="M4" s="408">
        <f>R17</f>
        <v>2.4027397260273973</v>
      </c>
      <c r="N4" s="411">
        <v>3.85</v>
      </c>
      <c r="O4" s="412" t="s">
        <v>398</v>
      </c>
      <c r="P4" s="595" t="s">
        <v>65</v>
      </c>
      <c r="Q4" s="596"/>
      <c r="R4" s="596"/>
      <c r="S4" s="596"/>
    </row>
    <row r="5" spans="2:20" x14ac:dyDescent="0.2">
      <c r="D5" s="86"/>
      <c r="F5" s="88">
        <f>E4/D4</f>
        <v>9.8877533515371832E-2</v>
      </c>
    </row>
    <row r="6" spans="2:20" x14ac:dyDescent="0.2">
      <c r="D6" s="368"/>
      <c r="O6" s="413"/>
    </row>
    <row r="7" spans="2:20" x14ac:dyDescent="0.2">
      <c r="B7" s="414" t="s">
        <v>657</v>
      </c>
      <c r="J7" s="414" t="s">
        <v>658</v>
      </c>
      <c r="O7" s="413"/>
      <c r="Q7" s="415" t="s">
        <v>659</v>
      </c>
    </row>
    <row r="9" spans="2:20" ht="13.5" x14ac:dyDescent="0.2">
      <c r="B9" s="416"/>
      <c r="C9" s="117"/>
      <c r="D9" s="117"/>
      <c r="E9" s="117"/>
      <c r="F9" s="117"/>
      <c r="G9" s="117"/>
      <c r="H9" s="118"/>
      <c r="J9" s="416"/>
      <c r="K9" s="117"/>
      <c r="L9" s="117"/>
      <c r="M9" s="117"/>
      <c r="N9" s="117"/>
      <c r="O9" s="118"/>
      <c r="P9" s="120"/>
      <c r="Q9" s="379" t="s">
        <v>660</v>
      </c>
      <c r="R9" s="379" t="s">
        <v>661</v>
      </c>
      <c r="S9" s="379" t="s">
        <v>662</v>
      </c>
      <c r="T9" s="417" t="s">
        <v>66</v>
      </c>
    </row>
    <row r="10" spans="2:20" ht="41.25" customHeight="1" x14ac:dyDescent="0.2">
      <c r="B10" s="122"/>
      <c r="C10" s="120"/>
      <c r="D10" s="120"/>
      <c r="E10" s="120"/>
      <c r="F10" s="120"/>
      <c r="G10" s="120"/>
      <c r="H10" s="121"/>
      <c r="J10" s="122"/>
      <c r="K10" s="120"/>
      <c r="L10" s="120"/>
      <c r="M10" s="120"/>
      <c r="N10" s="120"/>
      <c r="O10" s="121"/>
      <c r="P10" s="120"/>
      <c r="Q10" s="418" t="s">
        <v>67</v>
      </c>
      <c r="R10" s="418" t="s">
        <v>663</v>
      </c>
      <c r="S10" s="419" t="s">
        <v>664</v>
      </c>
      <c r="T10" s="420" t="s">
        <v>665</v>
      </c>
    </row>
    <row r="11" spans="2:20" ht="44.25" customHeight="1" x14ac:dyDescent="0.2">
      <c r="B11" s="122"/>
      <c r="C11" s="120"/>
      <c r="D11" s="120"/>
      <c r="E11" s="120"/>
      <c r="F11" s="120"/>
      <c r="G11" s="120"/>
      <c r="H11" s="121"/>
      <c r="J11" s="122"/>
      <c r="K11" s="120"/>
      <c r="L11" s="120"/>
      <c r="M11" s="120"/>
      <c r="N11" s="120"/>
      <c r="O11" s="121"/>
      <c r="P11" s="120"/>
      <c r="Q11" s="421" t="s">
        <v>666</v>
      </c>
      <c r="R11" s="422" t="s">
        <v>667</v>
      </c>
      <c r="S11" s="419" t="s">
        <v>668</v>
      </c>
      <c r="T11" s="423"/>
    </row>
    <row r="12" spans="2:20" ht="42.75" customHeight="1" x14ac:dyDescent="0.2">
      <c r="B12" s="122"/>
      <c r="C12" s="120"/>
      <c r="D12" s="120"/>
      <c r="E12" s="120"/>
      <c r="F12" s="120"/>
      <c r="G12" s="120"/>
      <c r="H12" s="121"/>
      <c r="J12" s="122"/>
      <c r="K12" s="120"/>
      <c r="L12" s="120"/>
      <c r="M12" s="120"/>
      <c r="N12" s="120"/>
      <c r="O12" s="121"/>
      <c r="P12" s="120"/>
      <c r="Q12" s="418" t="s">
        <v>669</v>
      </c>
      <c r="R12" s="424" t="s">
        <v>68</v>
      </c>
      <c r="S12" s="419" t="s">
        <v>399</v>
      </c>
      <c r="T12" s="423"/>
    </row>
    <row r="13" spans="2:20" x14ac:dyDescent="0.2">
      <c r="B13" s="122"/>
      <c r="C13" s="120"/>
      <c r="D13" s="120"/>
      <c r="E13" s="120"/>
      <c r="F13" s="120"/>
      <c r="G13" s="120"/>
      <c r="H13" s="121"/>
      <c r="J13" s="122"/>
      <c r="K13" s="120"/>
      <c r="L13" s="120"/>
      <c r="M13" s="120"/>
      <c r="N13" s="120"/>
      <c r="O13" s="121"/>
      <c r="P13" s="120"/>
    </row>
    <row r="14" spans="2:20" x14ac:dyDescent="0.2">
      <c r="B14" s="122"/>
      <c r="C14" s="120"/>
      <c r="D14" s="120"/>
      <c r="E14" s="120"/>
      <c r="F14" s="120"/>
      <c r="G14" s="120"/>
      <c r="H14" s="121"/>
      <c r="J14" s="122"/>
      <c r="K14" s="120"/>
      <c r="L14" s="120"/>
      <c r="M14" s="120"/>
      <c r="N14" s="120"/>
      <c r="O14" s="121"/>
      <c r="P14" s="120"/>
      <c r="Q14" s="102" t="s">
        <v>670</v>
      </c>
      <c r="R14" s="425">
        <v>45473</v>
      </c>
    </row>
    <row r="15" spans="2:20" x14ac:dyDescent="0.2">
      <c r="B15" s="122"/>
      <c r="C15" s="120"/>
      <c r="D15" s="120"/>
      <c r="E15" s="120"/>
      <c r="F15" s="120"/>
      <c r="G15" s="120"/>
      <c r="H15" s="121"/>
      <c r="J15" s="122"/>
      <c r="K15" s="120"/>
      <c r="L15" s="120"/>
      <c r="M15" s="120"/>
      <c r="N15" s="120"/>
      <c r="O15" s="121"/>
      <c r="P15" s="120"/>
      <c r="Q15" s="104" t="s">
        <v>671</v>
      </c>
      <c r="R15" s="426" t="s">
        <v>672</v>
      </c>
    </row>
    <row r="16" spans="2:20" x14ac:dyDescent="0.2">
      <c r="B16" s="122"/>
      <c r="C16" s="120"/>
      <c r="D16" s="120"/>
      <c r="E16" s="120"/>
      <c r="F16" s="120"/>
      <c r="G16" s="120"/>
      <c r="H16" s="121"/>
      <c r="J16" s="122"/>
      <c r="K16" s="120"/>
      <c r="L16" s="120"/>
      <c r="M16" s="120"/>
      <c r="N16" s="120"/>
      <c r="O16" s="121"/>
      <c r="P16" s="120"/>
      <c r="Q16" s="104" t="s">
        <v>673</v>
      </c>
      <c r="R16" s="426" t="s">
        <v>400</v>
      </c>
    </row>
    <row r="17" spans="2:18" x14ac:dyDescent="0.2">
      <c r="B17" s="122"/>
      <c r="C17" s="120"/>
      <c r="D17" s="120"/>
      <c r="E17" s="120"/>
      <c r="F17" s="120"/>
      <c r="G17" s="120"/>
      <c r="H17" s="121"/>
      <c r="J17" s="122"/>
      <c r="K17" s="120"/>
      <c r="L17" s="120"/>
      <c r="M17" s="120"/>
      <c r="N17" s="120"/>
      <c r="O17" s="121"/>
      <c r="P17" s="120"/>
      <c r="R17" s="65">
        <f>YEARFRAC(R14,R16,3)</f>
        <v>2.4027397260273973</v>
      </c>
    </row>
    <row r="18" spans="2:18" x14ac:dyDescent="0.2">
      <c r="B18" s="122"/>
      <c r="C18" s="120"/>
      <c r="D18" s="120"/>
      <c r="E18" s="120"/>
      <c r="F18" s="120"/>
      <c r="G18" s="120"/>
      <c r="H18" s="121"/>
      <c r="J18" s="122"/>
      <c r="K18" s="120"/>
      <c r="L18" s="120"/>
      <c r="M18" s="120"/>
      <c r="N18" s="120"/>
      <c r="O18" s="121"/>
      <c r="P18" s="120"/>
    </row>
    <row r="19" spans="2:18" x14ac:dyDescent="0.2">
      <c r="B19" s="122"/>
      <c r="C19" s="120"/>
      <c r="D19" s="120"/>
      <c r="E19" s="120"/>
      <c r="F19" s="120"/>
      <c r="G19" s="120"/>
      <c r="H19" s="121"/>
      <c r="J19" s="122"/>
      <c r="K19" s="120"/>
      <c r="L19" s="120"/>
      <c r="M19" s="120"/>
      <c r="N19" s="120"/>
      <c r="O19" s="121"/>
      <c r="P19" s="120"/>
    </row>
    <row r="20" spans="2:18" x14ac:dyDescent="0.2">
      <c r="B20" s="122"/>
      <c r="C20" s="120"/>
      <c r="D20" s="120"/>
      <c r="E20" s="120"/>
      <c r="F20" s="120"/>
      <c r="G20" s="120"/>
      <c r="H20" s="121"/>
      <c r="J20" s="122"/>
      <c r="K20" s="120"/>
      <c r="L20" s="120"/>
      <c r="M20" s="120"/>
      <c r="N20" s="120"/>
      <c r="O20" s="121"/>
      <c r="P20" s="120"/>
    </row>
    <row r="21" spans="2:18" x14ac:dyDescent="0.2">
      <c r="B21" s="122"/>
      <c r="C21" s="120"/>
      <c r="D21" s="120"/>
      <c r="E21" s="120"/>
      <c r="F21" s="120"/>
      <c r="G21" s="120"/>
      <c r="H21" s="121"/>
      <c r="J21" s="122"/>
      <c r="K21" s="120"/>
      <c r="L21" s="120"/>
      <c r="M21" s="120"/>
      <c r="N21" s="120"/>
      <c r="O21" s="121"/>
      <c r="P21" s="120"/>
    </row>
    <row r="22" spans="2:18" x14ac:dyDescent="0.2">
      <c r="B22" s="122"/>
      <c r="C22" s="120"/>
      <c r="D22" s="120"/>
      <c r="E22" s="120"/>
      <c r="F22" s="120"/>
      <c r="G22" s="120"/>
      <c r="H22" s="121"/>
      <c r="J22" s="122"/>
      <c r="K22" s="120"/>
      <c r="L22" s="120"/>
      <c r="M22" s="120"/>
      <c r="N22" s="120"/>
      <c r="O22" s="121"/>
      <c r="P22" s="120"/>
    </row>
    <row r="23" spans="2:18" x14ac:dyDescent="0.2">
      <c r="B23" s="122"/>
      <c r="C23" s="120"/>
      <c r="D23" s="120"/>
      <c r="E23" s="120"/>
      <c r="F23" s="120"/>
      <c r="G23" s="120"/>
      <c r="H23" s="121"/>
      <c r="J23" s="122"/>
      <c r="K23" s="120"/>
      <c r="L23" s="120"/>
      <c r="M23" s="120"/>
      <c r="N23" s="120"/>
      <c r="O23" s="121"/>
      <c r="P23" s="120"/>
    </row>
    <row r="24" spans="2:18" x14ac:dyDescent="0.2">
      <c r="B24" s="122"/>
      <c r="C24" s="120"/>
      <c r="D24" s="120"/>
      <c r="E24" s="120"/>
      <c r="F24" s="120"/>
      <c r="G24" s="120"/>
      <c r="H24" s="121"/>
      <c r="J24" s="122"/>
      <c r="K24" s="120"/>
      <c r="L24" s="120"/>
      <c r="M24" s="120"/>
      <c r="N24" s="120"/>
      <c r="O24" s="121"/>
      <c r="P24" s="120"/>
    </row>
    <row r="25" spans="2:18" x14ac:dyDescent="0.2">
      <c r="B25" s="122"/>
      <c r="C25" s="120"/>
      <c r="D25" s="120"/>
      <c r="E25" s="120"/>
      <c r="F25" s="120"/>
      <c r="G25" s="120"/>
      <c r="H25" s="121"/>
      <c r="J25" s="122"/>
      <c r="K25" s="120"/>
      <c r="L25" s="120"/>
      <c r="M25" s="120"/>
      <c r="N25" s="120"/>
      <c r="O25" s="121"/>
      <c r="P25" s="120"/>
    </row>
    <row r="26" spans="2:18" x14ac:dyDescent="0.2">
      <c r="B26" s="122"/>
      <c r="C26" s="120"/>
      <c r="D26" s="120"/>
      <c r="E26" s="120"/>
      <c r="F26" s="120"/>
      <c r="G26" s="120"/>
      <c r="H26" s="121"/>
      <c r="J26" s="122"/>
      <c r="K26" s="120"/>
      <c r="L26" s="120"/>
      <c r="M26" s="120"/>
      <c r="N26" s="120"/>
      <c r="O26" s="121"/>
      <c r="P26" s="120"/>
    </row>
    <row r="27" spans="2:18" x14ac:dyDescent="0.2">
      <c r="B27" s="122"/>
      <c r="C27" s="120"/>
      <c r="D27" s="120"/>
      <c r="E27" s="120"/>
      <c r="F27" s="120"/>
      <c r="G27" s="120"/>
      <c r="H27" s="121"/>
      <c r="J27" s="122"/>
      <c r="K27" s="120"/>
      <c r="L27" s="120"/>
      <c r="M27" s="120"/>
      <c r="N27" s="120"/>
      <c r="O27" s="121"/>
      <c r="P27" s="120"/>
    </row>
    <row r="28" spans="2:18" x14ac:dyDescent="0.2">
      <c r="B28" s="122"/>
      <c r="C28" s="120"/>
      <c r="D28" s="120"/>
      <c r="E28" s="120"/>
      <c r="F28" s="120"/>
      <c r="G28" s="120"/>
      <c r="H28" s="121"/>
      <c r="J28" s="122"/>
      <c r="K28" s="120"/>
      <c r="L28" s="120"/>
      <c r="M28" s="120"/>
      <c r="N28" s="120"/>
      <c r="O28" s="121"/>
      <c r="P28" s="120"/>
    </row>
    <row r="29" spans="2:18" x14ac:dyDescent="0.2">
      <c r="B29" s="122"/>
      <c r="C29" s="120"/>
      <c r="D29" s="120"/>
      <c r="E29" s="120"/>
      <c r="F29" s="120"/>
      <c r="G29" s="120"/>
      <c r="H29" s="121"/>
      <c r="J29" s="122"/>
      <c r="K29" s="120"/>
      <c r="L29" s="120"/>
      <c r="M29" s="120"/>
      <c r="N29" s="120"/>
      <c r="O29" s="121"/>
      <c r="P29" s="120"/>
    </row>
    <row r="30" spans="2:18" x14ac:dyDescent="0.2">
      <c r="B30" s="122"/>
      <c r="C30" s="120"/>
      <c r="D30" s="120"/>
      <c r="E30" s="120"/>
      <c r="F30" s="120"/>
      <c r="G30" s="120"/>
      <c r="H30" s="121"/>
      <c r="J30" s="122"/>
      <c r="K30" s="120"/>
      <c r="L30" s="120"/>
      <c r="M30" s="120"/>
      <c r="N30" s="120"/>
      <c r="O30" s="121"/>
      <c r="P30" s="120"/>
    </row>
    <row r="31" spans="2:18" x14ac:dyDescent="0.2">
      <c r="B31" s="122"/>
      <c r="C31" s="120"/>
      <c r="D31" s="120"/>
      <c r="E31" s="120"/>
      <c r="F31" s="120"/>
      <c r="G31" s="120"/>
      <c r="H31" s="121"/>
      <c r="J31" s="122"/>
      <c r="K31" s="120"/>
      <c r="L31" s="120"/>
      <c r="M31" s="120"/>
      <c r="N31" s="120"/>
      <c r="O31" s="121"/>
      <c r="P31" s="120"/>
    </row>
    <row r="32" spans="2:18" x14ac:dyDescent="0.2">
      <c r="B32" s="122"/>
      <c r="C32" s="120"/>
      <c r="D32" s="120"/>
      <c r="E32" s="120"/>
      <c r="F32" s="120"/>
      <c r="G32" s="120"/>
      <c r="H32" s="121"/>
      <c r="J32" s="122"/>
      <c r="K32" s="120"/>
      <c r="L32" s="120"/>
      <c r="M32" s="120"/>
      <c r="N32" s="120"/>
      <c r="O32" s="121"/>
      <c r="P32" s="120"/>
    </row>
    <row r="33" spans="2:16" x14ac:dyDescent="0.2">
      <c r="B33" s="122"/>
      <c r="C33" s="120"/>
      <c r="D33" s="120"/>
      <c r="E33" s="120"/>
      <c r="F33" s="120"/>
      <c r="G33" s="120"/>
      <c r="H33" s="121"/>
      <c r="J33" s="122"/>
      <c r="K33" s="120"/>
      <c r="L33" s="120"/>
      <c r="M33" s="120"/>
      <c r="N33" s="120"/>
      <c r="O33" s="121"/>
      <c r="P33" s="120"/>
    </row>
    <row r="34" spans="2:16" x14ac:dyDescent="0.2">
      <c r="B34" s="122"/>
      <c r="C34" s="120"/>
      <c r="D34" s="120"/>
      <c r="E34" s="120"/>
      <c r="F34" s="120"/>
      <c r="G34" s="120"/>
      <c r="H34" s="121"/>
      <c r="J34" s="122"/>
      <c r="K34" s="120"/>
      <c r="L34" s="120"/>
      <c r="M34" s="120"/>
      <c r="N34" s="120"/>
      <c r="O34" s="121"/>
      <c r="P34" s="120"/>
    </row>
    <row r="35" spans="2:16" x14ac:dyDescent="0.2">
      <c r="B35" s="122"/>
      <c r="C35" s="120"/>
      <c r="D35" s="120"/>
      <c r="E35" s="120"/>
      <c r="F35" s="120"/>
      <c r="G35" s="120"/>
      <c r="H35" s="121"/>
      <c r="J35" s="122"/>
      <c r="K35" s="120"/>
      <c r="L35" s="120"/>
      <c r="M35" s="120"/>
      <c r="N35" s="120"/>
      <c r="O35" s="121"/>
      <c r="P35" s="120"/>
    </row>
    <row r="36" spans="2:16" x14ac:dyDescent="0.2">
      <c r="B36" s="122"/>
      <c r="C36" s="120"/>
      <c r="D36" s="120"/>
      <c r="E36" s="120"/>
      <c r="F36" s="120"/>
      <c r="G36" s="120"/>
      <c r="H36" s="121"/>
      <c r="J36" s="122"/>
      <c r="K36" s="120"/>
      <c r="L36" s="120"/>
      <c r="M36" s="120"/>
      <c r="N36" s="120"/>
      <c r="O36" s="121"/>
      <c r="P36" s="120"/>
    </row>
    <row r="37" spans="2:16" x14ac:dyDescent="0.2">
      <c r="B37" s="122"/>
      <c r="C37" s="120"/>
      <c r="D37" s="120"/>
      <c r="E37" s="120"/>
      <c r="F37" s="120"/>
      <c r="G37" s="120"/>
      <c r="H37" s="121"/>
      <c r="J37" s="122"/>
      <c r="K37" s="120"/>
      <c r="L37" s="120"/>
      <c r="M37" s="120"/>
      <c r="N37" s="120"/>
      <c r="O37" s="121"/>
      <c r="P37" s="120"/>
    </row>
    <row r="38" spans="2:16" x14ac:dyDescent="0.2">
      <c r="B38" s="122"/>
      <c r="C38" s="120"/>
      <c r="D38" s="120"/>
      <c r="E38" s="120"/>
      <c r="F38" s="120"/>
      <c r="G38" s="120"/>
      <c r="H38" s="121"/>
      <c r="J38" s="122"/>
      <c r="K38" s="120"/>
      <c r="L38" s="120"/>
      <c r="M38" s="120"/>
      <c r="N38" s="120"/>
      <c r="O38" s="121"/>
      <c r="P38" s="120"/>
    </row>
    <row r="39" spans="2:16" x14ac:dyDescent="0.2">
      <c r="B39" s="122"/>
      <c r="C39" s="120"/>
      <c r="D39" s="120"/>
      <c r="E39" s="120"/>
      <c r="F39" s="120"/>
      <c r="G39" s="120"/>
      <c r="H39" s="121"/>
      <c r="J39" s="122"/>
      <c r="K39" s="120"/>
      <c r="L39" s="120"/>
      <c r="M39" s="120"/>
      <c r="N39" s="120"/>
      <c r="O39" s="121"/>
      <c r="P39" s="120"/>
    </row>
    <row r="40" spans="2:16" x14ac:dyDescent="0.2">
      <c r="B40" s="122"/>
      <c r="C40" s="120"/>
      <c r="D40" s="120"/>
      <c r="E40" s="120"/>
      <c r="F40" s="120"/>
      <c r="G40" s="120"/>
      <c r="H40" s="121"/>
      <c r="J40" s="122"/>
      <c r="K40" s="120"/>
      <c r="L40" s="120"/>
      <c r="M40" s="120"/>
      <c r="N40" s="120"/>
      <c r="O40" s="121"/>
      <c r="P40" s="120"/>
    </row>
    <row r="41" spans="2:16" x14ac:dyDescent="0.2">
      <c r="B41" s="122"/>
      <c r="C41" s="120"/>
      <c r="D41" s="120"/>
      <c r="E41" s="120"/>
      <c r="F41" s="120"/>
      <c r="G41" s="120"/>
      <c r="H41" s="121"/>
      <c r="J41" s="122"/>
      <c r="K41" s="120"/>
      <c r="L41" s="120"/>
      <c r="M41" s="120"/>
      <c r="N41" s="120"/>
      <c r="O41" s="121"/>
      <c r="P41" s="120"/>
    </row>
    <row r="42" spans="2:16" x14ac:dyDescent="0.2">
      <c r="B42" s="122"/>
      <c r="C42" s="120"/>
      <c r="D42" s="120"/>
      <c r="E42" s="120"/>
      <c r="F42" s="120"/>
      <c r="G42" s="120"/>
      <c r="H42" s="121"/>
      <c r="J42" s="122"/>
      <c r="K42" s="120"/>
      <c r="L42" s="120"/>
      <c r="M42" s="120"/>
      <c r="N42" s="120"/>
      <c r="O42" s="121"/>
      <c r="P42" s="120"/>
    </row>
    <row r="43" spans="2:16" x14ac:dyDescent="0.2">
      <c r="B43" s="122"/>
      <c r="C43" s="120"/>
      <c r="D43" s="120"/>
      <c r="E43" s="120"/>
      <c r="F43" s="120"/>
      <c r="G43" s="120"/>
      <c r="H43" s="121"/>
      <c r="J43" s="122"/>
      <c r="K43" s="120"/>
      <c r="L43" s="120"/>
      <c r="M43" s="120"/>
      <c r="N43" s="120"/>
      <c r="O43" s="121"/>
      <c r="P43" s="120"/>
    </row>
    <row r="44" spans="2:16" x14ac:dyDescent="0.2">
      <c r="B44" s="122"/>
      <c r="C44" s="120"/>
      <c r="D44" s="120"/>
      <c r="E44" s="120"/>
      <c r="F44" s="120"/>
      <c r="G44" s="120"/>
      <c r="H44" s="121"/>
      <c r="J44" s="122"/>
      <c r="K44" s="120"/>
      <c r="L44" s="120"/>
      <c r="M44" s="120"/>
      <c r="N44" s="120"/>
      <c r="O44" s="121"/>
      <c r="P44" s="120"/>
    </row>
    <row r="45" spans="2:16" x14ac:dyDescent="0.2">
      <c r="B45" s="122"/>
      <c r="C45" s="120"/>
      <c r="D45" s="120"/>
      <c r="E45" s="120"/>
      <c r="F45" s="120"/>
      <c r="G45" s="120"/>
      <c r="H45" s="121"/>
      <c r="J45" s="122"/>
      <c r="K45" s="120"/>
      <c r="L45" s="120"/>
      <c r="M45" s="120"/>
      <c r="N45" s="120"/>
      <c r="O45" s="121"/>
      <c r="P45" s="120"/>
    </row>
    <row r="46" spans="2:16" x14ac:dyDescent="0.2">
      <c r="B46" s="122"/>
      <c r="C46" s="120"/>
      <c r="D46" s="120"/>
      <c r="E46" s="120"/>
      <c r="F46" s="120"/>
      <c r="G46" s="120"/>
      <c r="H46" s="121"/>
      <c r="J46" s="122"/>
      <c r="K46" s="120"/>
      <c r="L46" s="120"/>
      <c r="M46" s="120"/>
      <c r="N46" s="120"/>
      <c r="O46" s="121"/>
      <c r="P46" s="120"/>
    </row>
    <row r="47" spans="2:16" x14ac:dyDescent="0.2">
      <c r="B47" s="122"/>
      <c r="C47" s="120"/>
      <c r="D47" s="120"/>
      <c r="E47" s="120"/>
      <c r="F47" s="120"/>
      <c r="G47" s="120"/>
      <c r="H47" s="121"/>
      <c r="J47" s="122"/>
      <c r="K47" s="120"/>
      <c r="L47" s="120"/>
      <c r="M47" s="120"/>
      <c r="N47" s="120"/>
      <c r="O47" s="121"/>
      <c r="P47" s="120"/>
    </row>
    <row r="48" spans="2:16" x14ac:dyDescent="0.2">
      <c r="B48" s="122"/>
      <c r="C48" s="120"/>
      <c r="D48" s="120"/>
      <c r="E48" s="120"/>
      <c r="F48" s="120"/>
      <c r="G48" s="120"/>
      <c r="H48" s="121"/>
      <c r="J48" s="122"/>
      <c r="K48" s="120"/>
      <c r="L48" s="120"/>
      <c r="M48" s="120"/>
      <c r="N48" s="120"/>
      <c r="O48" s="121"/>
      <c r="P48" s="120"/>
    </row>
    <row r="49" spans="2:25" x14ac:dyDescent="0.2">
      <c r="B49" s="122"/>
      <c r="C49" s="120"/>
      <c r="D49" s="120"/>
      <c r="E49" s="120"/>
      <c r="F49" s="120"/>
      <c r="G49" s="120"/>
      <c r="H49" s="121"/>
      <c r="I49" s="120"/>
      <c r="J49" s="122"/>
      <c r="K49" s="120"/>
      <c r="L49" s="120"/>
      <c r="M49" s="120"/>
      <c r="N49" s="120"/>
      <c r="O49" s="121"/>
      <c r="P49" s="120"/>
      <c r="Q49" s="120"/>
      <c r="R49" s="120"/>
      <c r="S49" s="120"/>
      <c r="T49" s="120"/>
      <c r="U49" s="120"/>
      <c r="V49" s="120"/>
      <c r="W49" s="120"/>
      <c r="X49" s="120"/>
      <c r="Y49" s="120"/>
    </row>
    <row r="50" spans="2:25" x14ac:dyDescent="0.2">
      <c r="B50" s="122"/>
      <c r="C50" s="120"/>
      <c r="D50" s="120"/>
      <c r="E50" s="120"/>
      <c r="F50" s="120"/>
      <c r="G50" s="120"/>
      <c r="H50" s="121"/>
      <c r="I50" s="120"/>
      <c r="J50" s="122"/>
      <c r="K50" s="120"/>
      <c r="L50" s="120"/>
      <c r="M50" s="120"/>
      <c r="N50" s="120"/>
      <c r="O50" s="121"/>
      <c r="P50" s="120"/>
      <c r="Q50" s="120"/>
      <c r="R50" s="120"/>
      <c r="S50" s="120"/>
      <c r="T50" s="120"/>
      <c r="U50" s="120"/>
      <c r="V50" s="120"/>
      <c r="W50" s="120"/>
      <c r="X50" s="120"/>
      <c r="Y50" s="120"/>
    </row>
    <row r="51" spans="2:25" x14ac:dyDescent="0.2">
      <c r="B51" s="122"/>
      <c r="C51" s="120"/>
      <c r="D51" s="120"/>
      <c r="E51" s="120"/>
      <c r="F51" s="120"/>
      <c r="G51" s="120"/>
      <c r="H51" s="121"/>
      <c r="I51" s="120"/>
      <c r="J51" s="122"/>
      <c r="K51" s="120"/>
      <c r="L51" s="120"/>
      <c r="M51" s="120"/>
      <c r="N51" s="120"/>
      <c r="O51" s="121"/>
      <c r="P51" s="120"/>
      <c r="Q51" s="120"/>
      <c r="R51" s="120"/>
      <c r="S51" s="120"/>
      <c r="T51" s="120"/>
      <c r="U51" s="120"/>
      <c r="V51" s="120"/>
      <c r="W51" s="120"/>
      <c r="X51" s="120"/>
      <c r="Y51" s="120"/>
    </row>
    <row r="52" spans="2:25" x14ac:dyDescent="0.2">
      <c r="B52" s="122"/>
      <c r="C52" s="120"/>
      <c r="D52" s="120"/>
      <c r="E52" s="120"/>
      <c r="F52" s="120"/>
      <c r="G52" s="120"/>
      <c r="H52" s="121"/>
      <c r="I52" s="120"/>
      <c r="J52" s="122"/>
      <c r="K52" s="120"/>
      <c r="L52" s="120"/>
      <c r="M52" s="120"/>
      <c r="N52" s="120"/>
      <c r="O52" s="121"/>
      <c r="P52" s="120"/>
      <c r="Q52" s="120"/>
      <c r="R52" s="120"/>
      <c r="S52" s="120"/>
      <c r="T52" s="120"/>
      <c r="U52" s="120"/>
      <c r="V52" s="120"/>
      <c r="W52" s="120"/>
      <c r="X52" s="120"/>
      <c r="Y52" s="120"/>
    </row>
    <row r="53" spans="2:25" x14ac:dyDescent="0.2">
      <c r="B53" s="122"/>
      <c r="C53" s="120"/>
      <c r="D53" s="120"/>
      <c r="E53" s="120"/>
      <c r="F53" s="120"/>
      <c r="G53" s="120"/>
      <c r="H53" s="121"/>
      <c r="I53" s="120"/>
      <c r="J53" s="122"/>
      <c r="K53" s="120"/>
      <c r="L53" s="120"/>
      <c r="M53" s="120"/>
      <c r="N53" s="120"/>
      <c r="O53" s="121"/>
      <c r="P53" s="120"/>
      <c r="Q53" s="120"/>
      <c r="R53" s="120"/>
      <c r="S53" s="120"/>
      <c r="T53" s="120"/>
      <c r="U53" s="120"/>
      <c r="V53" s="120"/>
      <c r="W53" s="120"/>
      <c r="X53" s="120"/>
      <c r="Y53" s="120"/>
    </row>
    <row r="54" spans="2:25" x14ac:dyDescent="0.2">
      <c r="B54" s="122"/>
      <c r="C54" s="120"/>
      <c r="D54" s="120"/>
      <c r="E54" s="120"/>
      <c r="F54" s="120"/>
      <c r="G54" s="120"/>
      <c r="H54" s="121"/>
      <c r="I54" s="120"/>
      <c r="J54" s="122"/>
      <c r="K54" s="120"/>
      <c r="L54" s="120"/>
      <c r="M54" s="120"/>
      <c r="N54" s="120"/>
      <c r="O54" s="121"/>
      <c r="P54" s="120"/>
      <c r="Q54" s="120"/>
      <c r="R54" s="120"/>
      <c r="S54" s="120"/>
      <c r="T54" s="120"/>
      <c r="U54" s="120"/>
      <c r="V54" s="120"/>
      <c r="W54" s="120"/>
      <c r="X54" s="120"/>
      <c r="Y54" s="120"/>
    </row>
    <row r="55" spans="2:25" x14ac:dyDescent="0.2">
      <c r="B55" s="122"/>
      <c r="C55" s="120"/>
      <c r="D55" s="120"/>
      <c r="E55" s="120"/>
      <c r="F55" s="120"/>
      <c r="G55" s="120"/>
      <c r="H55" s="121"/>
      <c r="I55" s="120"/>
      <c r="J55" s="122"/>
      <c r="K55" s="120"/>
      <c r="L55" s="120"/>
      <c r="M55" s="120"/>
      <c r="N55" s="120"/>
      <c r="O55" s="121"/>
      <c r="P55" s="120"/>
      <c r="Q55" s="120"/>
      <c r="R55" s="120"/>
      <c r="S55" s="120"/>
      <c r="T55" s="120"/>
      <c r="U55" s="120"/>
      <c r="V55" s="120"/>
      <c r="W55" s="120"/>
      <c r="X55" s="120"/>
      <c r="Y55" s="120"/>
    </row>
    <row r="56" spans="2:25" x14ac:dyDescent="0.2">
      <c r="B56" s="122"/>
      <c r="C56" s="120"/>
      <c r="D56" s="120"/>
      <c r="E56" s="120"/>
      <c r="F56" s="120"/>
      <c r="G56" s="120"/>
      <c r="H56" s="121"/>
      <c r="I56" s="120"/>
      <c r="J56" s="122"/>
      <c r="K56" s="120"/>
      <c r="L56" s="120"/>
      <c r="M56" s="120"/>
      <c r="N56" s="120"/>
      <c r="O56" s="121"/>
      <c r="P56" s="120"/>
      <c r="Q56" s="120"/>
      <c r="R56" s="120"/>
      <c r="S56" s="120"/>
      <c r="T56" s="120"/>
      <c r="U56" s="120"/>
      <c r="V56" s="120"/>
      <c r="W56" s="120"/>
      <c r="X56" s="120"/>
      <c r="Y56" s="120"/>
    </row>
    <row r="57" spans="2:25" x14ac:dyDescent="0.2">
      <c r="B57" s="122"/>
      <c r="C57" s="120"/>
      <c r="D57" s="120"/>
      <c r="E57" s="120"/>
      <c r="F57" s="120"/>
      <c r="G57" s="120"/>
      <c r="H57" s="121"/>
      <c r="I57" s="120"/>
      <c r="J57" s="122"/>
      <c r="K57" s="120"/>
      <c r="L57" s="120"/>
      <c r="M57" s="120"/>
      <c r="N57" s="120"/>
      <c r="O57" s="121"/>
      <c r="P57" s="120"/>
      <c r="Q57" s="120"/>
      <c r="R57" s="120"/>
      <c r="S57" s="120"/>
      <c r="T57" s="120"/>
      <c r="U57" s="120"/>
      <c r="V57" s="120"/>
      <c r="W57" s="120"/>
      <c r="X57" s="120"/>
      <c r="Y57" s="120"/>
    </row>
    <row r="58" spans="2:25" x14ac:dyDescent="0.2">
      <c r="B58" s="122"/>
      <c r="C58" s="120"/>
      <c r="D58" s="120"/>
      <c r="E58" s="120"/>
      <c r="F58" s="120"/>
      <c r="G58" s="120"/>
      <c r="H58" s="121"/>
      <c r="I58" s="120"/>
      <c r="J58" s="122"/>
      <c r="K58" s="120"/>
      <c r="L58" s="120"/>
      <c r="M58" s="120"/>
      <c r="N58" s="120"/>
      <c r="O58" s="121"/>
      <c r="P58" s="120"/>
      <c r="Q58" s="120"/>
      <c r="R58" s="120"/>
      <c r="S58" s="120"/>
      <c r="T58" s="120"/>
      <c r="U58" s="120"/>
      <c r="V58" s="120"/>
      <c r="W58" s="120"/>
      <c r="X58" s="120"/>
      <c r="Y58" s="120"/>
    </row>
    <row r="59" spans="2:25" x14ac:dyDescent="0.2">
      <c r="B59" s="122"/>
      <c r="C59" s="120"/>
      <c r="D59" s="120"/>
      <c r="E59" s="120"/>
      <c r="F59" s="120"/>
      <c r="G59" s="120"/>
      <c r="H59" s="121"/>
      <c r="I59" s="120"/>
      <c r="J59" s="122"/>
      <c r="K59" s="120"/>
      <c r="L59" s="120"/>
      <c r="M59" s="120"/>
      <c r="N59" s="120"/>
      <c r="O59" s="121"/>
      <c r="P59" s="120"/>
      <c r="Q59" s="120"/>
      <c r="R59" s="120"/>
      <c r="S59" s="120"/>
      <c r="T59" s="120"/>
      <c r="U59" s="120"/>
      <c r="V59" s="120"/>
      <c r="W59" s="120"/>
      <c r="X59" s="120"/>
      <c r="Y59" s="120"/>
    </row>
    <row r="60" spans="2:25" x14ac:dyDescent="0.2">
      <c r="B60" s="122"/>
      <c r="C60" s="120"/>
      <c r="D60" s="120"/>
      <c r="E60" s="120"/>
      <c r="F60" s="120"/>
      <c r="G60" s="120"/>
      <c r="H60" s="121"/>
      <c r="I60" s="120"/>
      <c r="J60" s="122"/>
      <c r="K60" s="120"/>
      <c r="L60" s="120"/>
      <c r="M60" s="120"/>
      <c r="N60" s="120"/>
      <c r="O60" s="121"/>
      <c r="P60" s="120"/>
      <c r="Q60" s="120"/>
      <c r="R60" s="120"/>
      <c r="S60" s="120"/>
      <c r="T60" s="120"/>
      <c r="U60" s="120"/>
      <c r="V60" s="120"/>
      <c r="W60" s="120"/>
      <c r="X60" s="120"/>
      <c r="Y60" s="120"/>
    </row>
    <row r="61" spans="2:25" x14ac:dyDescent="0.2">
      <c r="B61" s="122"/>
      <c r="C61" s="120"/>
      <c r="D61" s="120"/>
      <c r="E61" s="120"/>
      <c r="F61" s="120"/>
      <c r="G61" s="120"/>
      <c r="H61" s="121"/>
      <c r="I61" s="120"/>
      <c r="J61" s="122"/>
      <c r="K61" s="120"/>
      <c r="L61" s="120"/>
      <c r="M61" s="120"/>
      <c r="N61" s="120"/>
      <c r="O61" s="121"/>
      <c r="P61" s="120"/>
      <c r="Q61" s="120"/>
      <c r="R61" s="120"/>
      <c r="S61" s="120"/>
      <c r="T61" s="120"/>
      <c r="U61" s="120"/>
      <c r="V61" s="120"/>
      <c r="W61" s="120"/>
      <c r="X61" s="120"/>
      <c r="Y61" s="120"/>
    </row>
    <row r="62" spans="2:25" x14ac:dyDescent="0.2">
      <c r="B62" s="122"/>
      <c r="C62" s="120"/>
      <c r="D62" s="120"/>
      <c r="E62" s="120"/>
      <c r="F62" s="120"/>
      <c r="G62" s="120"/>
      <c r="H62" s="121"/>
      <c r="I62" s="120"/>
      <c r="J62" s="122"/>
      <c r="K62" s="120"/>
      <c r="L62" s="120"/>
      <c r="M62" s="120"/>
      <c r="N62" s="120"/>
      <c r="O62" s="121"/>
      <c r="P62" s="120"/>
      <c r="Q62" s="120"/>
      <c r="R62" s="120"/>
      <c r="S62" s="120"/>
      <c r="T62" s="120"/>
      <c r="U62" s="120"/>
      <c r="V62" s="120"/>
      <c r="W62" s="120"/>
      <c r="X62" s="120"/>
      <c r="Y62" s="120"/>
    </row>
    <row r="63" spans="2:25" x14ac:dyDescent="0.2">
      <c r="B63" s="122"/>
      <c r="C63" s="120"/>
      <c r="D63" s="120"/>
      <c r="E63" s="120"/>
      <c r="F63" s="120"/>
      <c r="G63" s="120"/>
      <c r="H63" s="121"/>
      <c r="I63" s="120"/>
      <c r="J63" s="122"/>
      <c r="K63" s="120"/>
      <c r="L63" s="120"/>
      <c r="M63" s="120"/>
      <c r="N63" s="120"/>
      <c r="O63" s="121"/>
      <c r="P63" s="120"/>
      <c r="Q63" s="120"/>
      <c r="R63" s="120"/>
      <c r="S63" s="120"/>
      <c r="T63" s="120"/>
      <c r="U63" s="120"/>
      <c r="V63" s="120"/>
      <c r="W63" s="120"/>
      <c r="X63" s="120"/>
      <c r="Y63" s="120"/>
    </row>
    <row r="64" spans="2:25" x14ac:dyDescent="0.2">
      <c r="B64" s="122"/>
      <c r="C64" s="120"/>
      <c r="D64" s="120"/>
      <c r="E64" s="120"/>
      <c r="F64" s="120"/>
      <c r="G64" s="120"/>
      <c r="H64" s="121"/>
      <c r="I64" s="120"/>
      <c r="J64" s="122"/>
      <c r="K64" s="120"/>
      <c r="L64" s="120"/>
      <c r="M64" s="120"/>
      <c r="N64" s="120"/>
      <c r="O64" s="121"/>
      <c r="P64" s="120"/>
      <c r="Q64" s="120"/>
      <c r="R64" s="120"/>
      <c r="S64" s="120"/>
      <c r="T64" s="120"/>
      <c r="U64" s="120"/>
      <c r="V64" s="120"/>
      <c r="W64" s="120"/>
      <c r="X64" s="120"/>
      <c r="Y64" s="120"/>
    </row>
    <row r="65" spans="2:25" x14ac:dyDescent="0.2">
      <c r="B65" s="122"/>
      <c r="C65" s="120"/>
      <c r="D65" s="120"/>
      <c r="E65" s="120"/>
      <c r="F65" s="120"/>
      <c r="G65" s="120"/>
      <c r="H65" s="121"/>
      <c r="I65" s="120"/>
      <c r="J65" s="123"/>
      <c r="K65" s="124"/>
      <c r="L65" s="124"/>
      <c r="M65" s="124"/>
      <c r="N65" s="124"/>
      <c r="O65" s="125"/>
      <c r="P65" s="120"/>
      <c r="Q65" s="120"/>
      <c r="R65" s="120"/>
      <c r="S65" s="120"/>
      <c r="T65" s="120"/>
      <c r="U65" s="120"/>
      <c r="V65" s="120"/>
      <c r="W65" s="120"/>
      <c r="X65" s="120"/>
      <c r="Y65" s="120"/>
    </row>
    <row r="66" spans="2:25" x14ac:dyDescent="0.2">
      <c r="B66" s="122"/>
      <c r="C66" s="120"/>
      <c r="D66" s="120"/>
      <c r="E66" s="120"/>
      <c r="F66" s="120"/>
      <c r="G66" s="120"/>
      <c r="H66" s="121"/>
      <c r="I66" s="120"/>
      <c r="J66" s="120"/>
      <c r="K66" s="120"/>
      <c r="L66" s="120"/>
      <c r="M66" s="120"/>
      <c r="N66" s="120"/>
      <c r="O66" s="120"/>
      <c r="P66" s="120"/>
      <c r="Q66" s="120"/>
      <c r="R66" s="120"/>
      <c r="S66" s="120"/>
      <c r="T66" s="120"/>
      <c r="U66" s="120"/>
      <c r="V66" s="120"/>
      <c r="W66" s="120"/>
      <c r="X66" s="120"/>
      <c r="Y66" s="120"/>
    </row>
    <row r="67" spans="2:25" x14ac:dyDescent="0.2">
      <c r="B67" s="122"/>
      <c r="C67" s="120"/>
      <c r="D67" s="120"/>
      <c r="E67" s="120"/>
      <c r="F67" s="120"/>
      <c r="G67" s="120"/>
      <c r="H67" s="121"/>
      <c r="I67" s="120"/>
      <c r="J67" s="120"/>
      <c r="K67" s="120"/>
      <c r="L67" s="120"/>
      <c r="M67" s="120"/>
      <c r="N67" s="120"/>
      <c r="O67" s="120"/>
      <c r="P67" s="120"/>
      <c r="Q67" s="120"/>
      <c r="R67" s="120"/>
      <c r="S67" s="120"/>
      <c r="T67" s="120"/>
      <c r="U67" s="120"/>
      <c r="V67" s="120"/>
      <c r="W67" s="120"/>
      <c r="X67" s="120"/>
      <c r="Y67" s="120"/>
    </row>
    <row r="68" spans="2:25" x14ac:dyDescent="0.2">
      <c r="B68" s="122"/>
      <c r="C68" s="120"/>
      <c r="D68" s="120"/>
      <c r="E68" s="120"/>
      <c r="F68" s="120"/>
      <c r="G68" s="120"/>
      <c r="H68" s="121"/>
      <c r="I68" s="120"/>
      <c r="J68" s="120"/>
      <c r="K68" s="120"/>
      <c r="L68" s="120"/>
      <c r="M68" s="120"/>
      <c r="N68" s="120"/>
      <c r="O68" s="120"/>
      <c r="P68" s="120"/>
      <c r="Q68" s="120"/>
      <c r="R68" s="120"/>
      <c r="S68" s="120"/>
      <c r="T68" s="120"/>
      <c r="U68" s="120"/>
      <c r="V68" s="120"/>
      <c r="W68" s="120"/>
      <c r="X68" s="120"/>
      <c r="Y68" s="120"/>
    </row>
    <row r="69" spans="2:25" x14ac:dyDescent="0.2">
      <c r="B69" s="122"/>
      <c r="C69" s="120"/>
      <c r="D69" s="120"/>
      <c r="E69" s="120"/>
      <c r="F69" s="120"/>
      <c r="G69" s="120"/>
      <c r="H69" s="121"/>
      <c r="I69" s="120"/>
      <c r="J69" s="120"/>
      <c r="K69" s="120"/>
      <c r="L69" s="120"/>
      <c r="M69" s="120"/>
      <c r="N69" s="120"/>
      <c r="O69" s="120"/>
      <c r="P69" s="120"/>
      <c r="Q69" s="120"/>
      <c r="R69" s="120"/>
      <c r="S69" s="120"/>
      <c r="T69" s="120"/>
      <c r="U69" s="120"/>
      <c r="V69" s="120"/>
      <c r="W69" s="120"/>
      <c r="X69" s="120"/>
      <c r="Y69" s="120"/>
    </row>
    <row r="70" spans="2:25" x14ac:dyDescent="0.2">
      <c r="B70" s="122"/>
      <c r="C70" s="120"/>
      <c r="D70" s="120"/>
      <c r="E70" s="120"/>
      <c r="F70" s="120"/>
      <c r="G70" s="120"/>
      <c r="H70" s="121"/>
      <c r="I70" s="120"/>
      <c r="J70" s="120"/>
      <c r="K70" s="120"/>
      <c r="L70" s="120"/>
      <c r="M70" s="120"/>
      <c r="N70" s="120"/>
      <c r="O70" s="120"/>
      <c r="P70" s="120"/>
      <c r="Q70" s="120"/>
      <c r="R70" s="120"/>
      <c r="S70" s="120"/>
      <c r="T70" s="120"/>
      <c r="U70" s="120"/>
      <c r="V70" s="120"/>
      <c r="W70" s="120"/>
      <c r="X70" s="120"/>
      <c r="Y70" s="120"/>
    </row>
    <row r="71" spans="2:25" x14ac:dyDescent="0.2">
      <c r="B71" s="122"/>
      <c r="C71" s="120"/>
      <c r="D71" s="120"/>
      <c r="E71" s="120"/>
      <c r="F71" s="120"/>
      <c r="G71" s="120"/>
      <c r="H71" s="121"/>
      <c r="I71" s="120"/>
      <c r="J71" s="120"/>
      <c r="K71" s="120"/>
      <c r="L71" s="120"/>
      <c r="M71" s="120"/>
      <c r="N71" s="120"/>
      <c r="O71" s="120"/>
      <c r="P71" s="120"/>
      <c r="Q71" s="120"/>
      <c r="R71" s="120"/>
      <c r="S71" s="120"/>
      <c r="T71" s="120"/>
      <c r="U71" s="120"/>
      <c r="V71" s="120"/>
      <c r="W71" s="120"/>
      <c r="X71" s="120"/>
      <c r="Y71" s="120"/>
    </row>
    <row r="72" spans="2:25" x14ac:dyDescent="0.2">
      <c r="B72" s="122"/>
      <c r="C72" s="120"/>
      <c r="D72" s="120"/>
      <c r="E72" s="120"/>
      <c r="F72" s="120"/>
      <c r="G72" s="120"/>
      <c r="H72" s="121"/>
      <c r="I72" s="120"/>
      <c r="J72" s="120"/>
      <c r="K72" s="120"/>
      <c r="L72" s="120"/>
      <c r="M72" s="120"/>
      <c r="N72" s="120"/>
      <c r="O72" s="120"/>
      <c r="P72" s="120"/>
      <c r="Q72" s="120"/>
      <c r="R72" s="120"/>
      <c r="S72" s="120"/>
      <c r="T72" s="120"/>
      <c r="U72" s="120"/>
      <c r="V72" s="120"/>
      <c r="W72" s="120"/>
      <c r="X72" s="120"/>
      <c r="Y72" s="120"/>
    </row>
    <row r="73" spans="2:25" x14ac:dyDescent="0.2">
      <c r="B73" s="122"/>
      <c r="C73" s="120"/>
      <c r="D73" s="120"/>
      <c r="E73" s="120"/>
      <c r="F73" s="120"/>
      <c r="G73" s="120"/>
      <c r="H73" s="121"/>
      <c r="I73" s="120"/>
      <c r="J73" s="120"/>
      <c r="K73" s="120"/>
      <c r="L73" s="120"/>
      <c r="M73" s="120"/>
      <c r="N73" s="120"/>
      <c r="O73" s="120"/>
      <c r="P73" s="120"/>
      <c r="Q73" s="120"/>
      <c r="R73" s="120"/>
      <c r="S73" s="120"/>
      <c r="T73" s="120"/>
      <c r="U73" s="120"/>
      <c r="V73" s="120"/>
      <c r="W73" s="120"/>
      <c r="X73" s="120"/>
      <c r="Y73" s="120"/>
    </row>
    <row r="74" spans="2:25" x14ac:dyDescent="0.2">
      <c r="B74" s="122"/>
      <c r="C74" s="120"/>
      <c r="D74" s="120"/>
      <c r="E74" s="120"/>
      <c r="F74" s="120"/>
      <c r="G74" s="120"/>
      <c r="H74" s="121"/>
      <c r="I74" s="120"/>
      <c r="J74" s="120"/>
      <c r="K74" s="120"/>
      <c r="L74" s="120"/>
      <c r="M74" s="120"/>
      <c r="N74" s="120"/>
      <c r="O74" s="120"/>
      <c r="P74" s="120"/>
      <c r="Q74" s="120"/>
      <c r="R74" s="120"/>
      <c r="S74" s="120"/>
      <c r="T74" s="120"/>
      <c r="U74" s="120"/>
      <c r="V74" s="120"/>
      <c r="W74" s="120"/>
      <c r="X74" s="120"/>
      <c r="Y74" s="120"/>
    </row>
    <row r="75" spans="2:25" x14ac:dyDescent="0.2">
      <c r="B75" s="123"/>
      <c r="C75" s="124"/>
      <c r="D75" s="124"/>
      <c r="E75" s="124"/>
      <c r="F75" s="124"/>
      <c r="G75" s="124"/>
      <c r="H75" s="125"/>
      <c r="I75" s="120"/>
      <c r="J75" s="120"/>
      <c r="K75" s="120"/>
      <c r="L75" s="120"/>
      <c r="M75" s="120"/>
      <c r="N75" s="120"/>
      <c r="O75" s="120"/>
      <c r="P75" s="120"/>
      <c r="Q75" s="120"/>
      <c r="R75" s="120"/>
      <c r="S75" s="120"/>
      <c r="T75" s="120"/>
      <c r="U75" s="120"/>
      <c r="V75" s="120"/>
      <c r="W75" s="120"/>
      <c r="X75" s="120"/>
      <c r="Y75" s="120"/>
    </row>
    <row r="76" spans="2:25" x14ac:dyDescent="0.2">
      <c r="I76" s="120"/>
      <c r="J76" s="120"/>
      <c r="K76" s="120"/>
      <c r="L76" s="120"/>
      <c r="M76" s="120"/>
      <c r="N76" s="120"/>
      <c r="O76" s="120"/>
      <c r="P76" s="120"/>
      <c r="Q76" s="120"/>
      <c r="R76" s="120"/>
      <c r="S76" s="120"/>
      <c r="T76" s="120"/>
      <c r="U76" s="120"/>
      <c r="V76" s="120"/>
      <c r="W76" s="120"/>
      <c r="X76" s="120"/>
      <c r="Y76" s="120"/>
    </row>
    <row r="77" spans="2:25" x14ac:dyDescent="0.2">
      <c r="I77" s="120"/>
      <c r="J77" s="120"/>
      <c r="K77" s="120"/>
      <c r="L77" s="120"/>
      <c r="M77" s="120"/>
      <c r="N77" s="120"/>
      <c r="O77" s="120"/>
      <c r="P77" s="120"/>
      <c r="Q77" s="120"/>
      <c r="R77" s="120"/>
      <c r="S77" s="120"/>
      <c r="T77" s="120"/>
      <c r="U77" s="120"/>
      <c r="V77" s="120"/>
      <c r="W77" s="120"/>
      <c r="X77" s="120"/>
      <c r="Y77" s="120"/>
    </row>
    <row r="78" spans="2:25" x14ac:dyDescent="0.2">
      <c r="I78" s="120"/>
      <c r="J78" s="120"/>
      <c r="K78" s="120"/>
      <c r="L78" s="120"/>
      <c r="M78" s="120"/>
      <c r="N78" s="120"/>
      <c r="O78" s="120"/>
      <c r="P78" s="120"/>
      <c r="Q78" s="120"/>
      <c r="R78" s="120"/>
      <c r="S78" s="120"/>
      <c r="T78" s="120"/>
      <c r="U78" s="120"/>
      <c r="V78" s="120"/>
      <c r="W78" s="120"/>
      <c r="X78" s="120"/>
      <c r="Y78" s="120"/>
    </row>
    <row r="79" spans="2:25" x14ac:dyDescent="0.2">
      <c r="I79" s="120"/>
      <c r="J79" s="120"/>
      <c r="K79" s="120"/>
      <c r="L79" s="120"/>
      <c r="M79" s="120"/>
      <c r="N79" s="120"/>
      <c r="O79" s="120"/>
      <c r="P79" s="120"/>
      <c r="Q79" s="120"/>
      <c r="R79" s="120"/>
      <c r="S79" s="120"/>
      <c r="T79" s="120"/>
      <c r="U79" s="120"/>
      <c r="V79" s="120"/>
      <c r="W79" s="120"/>
      <c r="X79" s="120"/>
      <c r="Y79" s="120"/>
    </row>
    <row r="80" spans="2:25" x14ac:dyDescent="0.2">
      <c r="J80" s="120"/>
      <c r="K80" s="120"/>
      <c r="L80" s="120"/>
      <c r="M80" s="120"/>
      <c r="N80" s="120"/>
      <c r="O80" s="120"/>
      <c r="P80" s="120"/>
    </row>
    <row r="81" spans="10:16" x14ac:dyDescent="0.2">
      <c r="J81" s="120"/>
      <c r="K81" s="120"/>
      <c r="L81" s="120"/>
      <c r="M81" s="120"/>
      <c r="N81" s="120"/>
      <c r="O81" s="120"/>
      <c r="P81" s="120"/>
    </row>
    <row r="82" spans="10:16" x14ac:dyDescent="0.2">
      <c r="J82" s="120"/>
      <c r="K82" s="120"/>
      <c r="L82" s="120"/>
      <c r="M82" s="120"/>
      <c r="N82" s="120"/>
      <c r="O82" s="120"/>
      <c r="P82" s="120"/>
    </row>
    <row r="83" spans="10:16" x14ac:dyDescent="0.2">
      <c r="J83" s="120"/>
      <c r="K83" s="120"/>
      <c r="L83" s="120"/>
      <c r="M83" s="120"/>
      <c r="N83" s="120"/>
      <c r="O83" s="120"/>
      <c r="P83" s="120"/>
    </row>
    <row r="84" spans="10:16" x14ac:dyDescent="0.2">
      <c r="J84" s="120"/>
      <c r="K84" s="120"/>
      <c r="L84" s="120"/>
      <c r="M84" s="120"/>
      <c r="N84" s="120"/>
      <c r="O84" s="120"/>
      <c r="P84" s="120"/>
    </row>
  </sheetData>
  <mergeCells count="1">
    <mergeCell ref="P4:S4"/>
  </mergeCells>
  <phoneticPr fontId="15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B2:T90"/>
  <sheetViews>
    <sheetView showGridLines="0" zoomScale="85" zoomScaleNormal="85" workbookViewId="0">
      <selection activeCell="E8" sqref="E8"/>
    </sheetView>
  </sheetViews>
  <sheetFormatPr defaultRowHeight="12.75" x14ac:dyDescent="0.2"/>
  <cols>
    <col min="1" max="1" width="3.5703125" style="65" customWidth="1"/>
    <col min="2" max="2" width="15.5703125" style="65" bestFit="1" customWidth="1"/>
    <col min="3" max="3" width="29.42578125" style="65" customWidth="1"/>
    <col min="4" max="4" width="13.7109375" style="65" bestFit="1" customWidth="1"/>
    <col min="5" max="5" width="19.5703125" style="65" bestFit="1" customWidth="1"/>
    <col min="6" max="6" width="16.28515625" style="65" customWidth="1"/>
    <col min="7" max="7" width="18" style="65" customWidth="1"/>
    <col min="8" max="8" width="21.140625" style="65" bestFit="1" customWidth="1"/>
    <col min="9" max="9" width="13.7109375" style="65" bestFit="1" customWidth="1"/>
    <col min="10" max="10" width="14.28515625" style="65" bestFit="1" customWidth="1"/>
    <col min="11" max="12" width="14.42578125" style="65" customWidth="1"/>
    <col min="13" max="13" width="12.7109375" style="65" customWidth="1"/>
    <col min="14" max="14" width="13.42578125" style="65" customWidth="1"/>
    <col min="15" max="15" width="19.28515625" style="65" customWidth="1"/>
    <col min="16" max="17" width="15.140625" style="65" customWidth="1"/>
    <col min="18" max="18" width="13.140625" style="65" customWidth="1"/>
    <col min="19" max="19" width="15.140625" style="65" customWidth="1"/>
    <col min="20" max="20" width="10.85546875" style="65" customWidth="1"/>
    <col min="21" max="21" width="21.28515625" style="65" bestFit="1" customWidth="1"/>
    <col min="22" max="16384" width="9.140625" style="65"/>
  </cols>
  <sheetData>
    <row r="2" spans="2:19" ht="13.5" x14ac:dyDescent="0.2">
      <c r="B2" s="360"/>
      <c r="C2" s="360"/>
      <c r="D2" s="388"/>
      <c r="E2" s="361"/>
      <c r="F2" s="360"/>
      <c r="G2" s="360"/>
      <c r="H2" s="362"/>
      <c r="I2" s="360"/>
      <c r="J2" s="360"/>
      <c r="K2" s="363"/>
      <c r="L2" s="362"/>
      <c r="M2" s="362"/>
      <c r="N2" s="362"/>
      <c r="O2" s="389" t="s">
        <v>401</v>
      </c>
    </row>
    <row r="3" spans="2:19" ht="18" thickBot="1" x14ac:dyDescent="0.25">
      <c r="B3" s="8" t="s">
        <v>402</v>
      </c>
      <c r="C3" s="8" t="s">
        <v>297</v>
      </c>
      <c r="D3" s="390" t="s">
        <v>396</v>
      </c>
      <c r="E3" s="26" t="s">
        <v>403</v>
      </c>
      <c r="F3" s="11" t="s">
        <v>404</v>
      </c>
      <c r="G3" s="390" t="s">
        <v>405</v>
      </c>
      <c r="H3" s="390" t="s">
        <v>365</v>
      </c>
      <c r="I3" s="390" t="s">
        <v>366</v>
      </c>
      <c r="J3" s="10" t="s">
        <v>367</v>
      </c>
      <c r="K3" s="10" t="s">
        <v>368</v>
      </c>
      <c r="L3" s="10" t="s">
        <v>397</v>
      </c>
      <c r="M3" s="12" t="s">
        <v>369</v>
      </c>
      <c r="N3" s="391" t="s">
        <v>406</v>
      </c>
      <c r="O3" s="391" t="s">
        <v>407</v>
      </c>
      <c r="P3" s="391" t="s">
        <v>97</v>
      </c>
      <c r="Q3" s="391" t="s">
        <v>100</v>
      </c>
    </row>
    <row r="4" spans="2:19" ht="14.25" thickTop="1" x14ac:dyDescent="0.2">
      <c r="B4" s="427" t="s">
        <v>10</v>
      </c>
      <c r="C4" s="427" t="s">
        <v>11</v>
      </c>
      <c r="D4" s="428">
        <f>5800-3900</f>
        <v>1900</v>
      </c>
      <c r="E4" s="429">
        <f>IF(G4&gt;=D4,0,D4-G4)</f>
        <v>0</v>
      </c>
      <c r="F4" s="428">
        <f>((((H4*K4-J4-L4)*I4)*1000000))/1000000</f>
        <v>5539.0859281153853</v>
      </c>
      <c r="G4" s="428">
        <f>((H4*K4-L4-J4)*I4)/(1+N4/100)^M4</f>
        <v>5140.6610406201407</v>
      </c>
      <c r="H4" s="430">
        <v>35951.300000000003</v>
      </c>
      <c r="I4" s="431">
        <f>300/1300</f>
        <v>0.23076923076923078</v>
      </c>
      <c r="J4" s="430">
        <v>0</v>
      </c>
      <c r="K4" s="432">
        <v>0.67100000000000004</v>
      </c>
      <c r="L4" s="430">
        <f>H4*K4*0.005</f>
        <v>120.61661150000002</v>
      </c>
      <c r="M4" s="433">
        <f>N37</f>
        <v>1.6958904109589041</v>
      </c>
      <c r="N4" s="434">
        <v>4.5</v>
      </c>
      <c r="O4" s="435" t="s">
        <v>408</v>
      </c>
      <c r="P4" s="153">
        <f>IF(D4*7%&lt;E4,0,IF(E4/D4&lt;7%,D4*1.4%,D4*8.4%-E4))</f>
        <v>26.599999999999998</v>
      </c>
      <c r="Q4" s="153">
        <f>E4+P4</f>
        <v>26.599999999999998</v>
      </c>
    </row>
    <row r="5" spans="2:19" x14ac:dyDescent="0.2">
      <c r="C5" s="65" t="s">
        <v>409</v>
      </c>
      <c r="F5" s="88"/>
    </row>
    <row r="6" spans="2:19" ht="13.5" x14ac:dyDescent="0.2">
      <c r="C6" s="65" t="s">
        <v>75</v>
      </c>
      <c r="M6" s="436">
        <v>2.2794520547945205</v>
      </c>
    </row>
    <row r="10" spans="2:19" ht="16.5" x14ac:dyDescent="0.2">
      <c r="B10" s="370" t="s">
        <v>410</v>
      </c>
      <c r="C10" s="117"/>
      <c r="D10" s="117"/>
      <c r="E10" s="118"/>
    </row>
    <row r="11" spans="2:19" ht="16.5" x14ac:dyDescent="0.2">
      <c r="B11" s="399"/>
      <c r="C11" s="120"/>
      <c r="D11" s="120"/>
      <c r="E11" s="121"/>
      <c r="L11" s="370" t="s">
        <v>411</v>
      </c>
      <c r="M11" s="117"/>
      <c r="N11" s="117"/>
      <c r="O11" s="117"/>
      <c r="P11" s="117"/>
      <c r="Q11" s="117"/>
      <c r="R11" s="117"/>
      <c r="S11" s="118"/>
    </row>
    <row r="12" spans="2:19" ht="16.5" x14ac:dyDescent="0.2">
      <c r="B12" s="399"/>
      <c r="C12" s="120"/>
      <c r="D12" s="120"/>
      <c r="E12" s="121"/>
      <c r="L12" s="122"/>
      <c r="M12" s="120"/>
      <c r="N12" s="120"/>
      <c r="O12" s="120"/>
      <c r="P12" s="120"/>
      <c r="Q12" s="120"/>
      <c r="R12" s="120"/>
      <c r="S12" s="121"/>
    </row>
    <row r="13" spans="2:19" x14ac:dyDescent="0.2">
      <c r="B13" s="122"/>
      <c r="C13" s="120"/>
      <c r="D13" s="120"/>
      <c r="E13" s="121"/>
      <c r="L13" s="122"/>
      <c r="M13" s="120"/>
      <c r="N13" s="120"/>
      <c r="O13" s="120"/>
      <c r="P13" s="120"/>
      <c r="Q13" s="120"/>
      <c r="R13" s="120"/>
      <c r="S13" s="121"/>
    </row>
    <row r="14" spans="2:19" x14ac:dyDescent="0.2">
      <c r="B14" s="122"/>
      <c r="C14" s="120"/>
      <c r="D14" s="120"/>
      <c r="E14" s="121"/>
      <c r="L14" s="122"/>
      <c r="M14" s="120"/>
      <c r="N14" s="120"/>
      <c r="O14" s="120"/>
      <c r="P14" s="120"/>
      <c r="Q14" s="120"/>
      <c r="R14" s="120"/>
      <c r="S14" s="121"/>
    </row>
    <row r="15" spans="2:19" x14ac:dyDescent="0.2">
      <c r="B15" s="122"/>
      <c r="C15" s="120"/>
      <c r="D15" s="120"/>
      <c r="E15" s="121"/>
      <c r="L15" s="122"/>
      <c r="M15" s="120"/>
      <c r="N15" s="120"/>
      <c r="O15" s="120"/>
      <c r="P15" s="120"/>
      <c r="Q15" s="120"/>
      <c r="R15" s="120"/>
      <c r="S15" s="121"/>
    </row>
    <row r="16" spans="2:19" x14ac:dyDescent="0.2">
      <c r="B16" s="122"/>
      <c r="C16" s="120"/>
      <c r="D16" s="120"/>
      <c r="E16" s="121"/>
      <c r="L16" s="122"/>
      <c r="M16" s="120"/>
      <c r="N16" s="120"/>
      <c r="O16" s="120"/>
      <c r="P16" s="120"/>
      <c r="Q16" s="120"/>
      <c r="R16" s="120"/>
      <c r="S16" s="121"/>
    </row>
    <row r="17" spans="2:19" x14ac:dyDescent="0.2">
      <c r="B17" s="122"/>
      <c r="C17" s="120"/>
      <c r="D17" s="120"/>
      <c r="E17" s="121"/>
      <c r="L17" s="122"/>
      <c r="M17" s="120"/>
      <c r="N17" s="120"/>
      <c r="O17" s="120"/>
      <c r="P17" s="120"/>
      <c r="Q17" s="120"/>
      <c r="R17" s="120"/>
      <c r="S17" s="121"/>
    </row>
    <row r="18" spans="2:19" x14ac:dyDescent="0.2">
      <c r="B18" s="122"/>
      <c r="C18" s="120"/>
      <c r="D18" s="120"/>
      <c r="E18" s="121"/>
      <c r="L18" s="122"/>
      <c r="M18" s="120"/>
      <c r="N18" s="120"/>
      <c r="O18" s="120"/>
      <c r="P18" s="120"/>
      <c r="Q18" s="120"/>
      <c r="R18" s="120"/>
      <c r="S18" s="121"/>
    </row>
    <row r="19" spans="2:19" x14ac:dyDescent="0.2">
      <c r="B19" s="122"/>
      <c r="C19" s="120"/>
      <c r="D19" s="120"/>
      <c r="E19" s="121"/>
      <c r="L19" s="122"/>
      <c r="M19" s="120"/>
      <c r="N19" s="120"/>
      <c r="O19" s="120"/>
      <c r="P19" s="120"/>
      <c r="Q19" s="120"/>
      <c r="R19" s="120"/>
      <c r="S19" s="121"/>
    </row>
    <row r="20" spans="2:19" x14ac:dyDescent="0.2">
      <c r="B20" s="123"/>
      <c r="C20" s="124"/>
      <c r="D20" s="124"/>
      <c r="E20" s="125"/>
      <c r="L20" s="122"/>
      <c r="M20" s="120"/>
      <c r="N20" s="120"/>
      <c r="O20" s="120"/>
      <c r="P20" s="120"/>
      <c r="Q20" s="120"/>
      <c r="R20" s="120"/>
      <c r="S20" s="121"/>
    </row>
    <row r="21" spans="2:19" x14ac:dyDescent="0.2">
      <c r="L21" s="122"/>
      <c r="M21" s="120"/>
      <c r="N21" s="120"/>
      <c r="O21" s="120"/>
      <c r="P21" s="120"/>
      <c r="Q21" s="120"/>
      <c r="R21" s="120"/>
      <c r="S21" s="121"/>
    </row>
    <row r="22" spans="2:19" x14ac:dyDescent="0.2">
      <c r="L22" s="122"/>
      <c r="M22" s="120"/>
      <c r="N22" s="120"/>
      <c r="O22" s="120"/>
      <c r="P22" s="120"/>
      <c r="Q22" s="120"/>
      <c r="R22" s="120"/>
      <c r="S22" s="121"/>
    </row>
    <row r="23" spans="2:19" ht="16.5" x14ac:dyDescent="0.2">
      <c r="B23" s="370" t="s">
        <v>393</v>
      </c>
      <c r="C23" s="117"/>
      <c r="D23" s="117"/>
      <c r="E23" s="117"/>
      <c r="F23" s="118"/>
      <c r="L23" s="122"/>
      <c r="M23" s="120"/>
      <c r="N23" s="120"/>
      <c r="O23" s="120"/>
      <c r="P23" s="120"/>
      <c r="Q23" s="120"/>
      <c r="R23" s="120"/>
      <c r="S23" s="121"/>
    </row>
    <row r="24" spans="2:19" ht="16.5" x14ac:dyDescent="0.2">
      <c r="B24" s="122"/>
      <c r="C24" s="387" t="s">
        <v>412</v>
      </c>
      <c r="D24" s="120"/>
      <c r="E24" s="120"/>
      <c r="F24" s="121"/>
      <c r="L24" s="122"/>
      <c r="M24" s="120"/>
      <c r="N24" s="120"/>
      <c r="O24" s="120"/>
      <c r="P24" s="120"/>
      <c r="Q24" s="120"/>
      <c r="R24" s="120"/>
      <c r="S24" s="121"/>
    </row>
    <row r="25" spans="2:19" ht="13.5" x14ac:dyDescent="0.2">
      <c r="B25" s="122"/>
      <c r="C25" s="89" t="s">
        <v>58</v>
      </c>
      <c r="D25" s="120"/>
      <c r="E25" s="120"/>
      <c r="F25" s="121"/>
      <c r="L25" s="122"/>
      <c r="M25" s="120"/>
      <c r="N25" s="120"/>
      <c r="O25" s="120"/>
      <c r="P25" s="120"/>
      <c r="Q25" s="120"/>
      <c r="R25" s="120"/>
      <c r="S25" s="121"/>
    </row>
    <row r="26" spans="2:19" x14ac:dyDescent="0.2">
      <c r="B26" s="122"/>
      <c r="C26" s="120"/>
      <c r="D26" s="120"/>
      <c r="E26" s="120"/>
      <c r="F26" s="121"/>
      <c r="L26" s="122"/>
      <c r="M26" s="120"/>
      <c r="N26" s="120"/>
      <c r="O26" s="120"/>
      <c r="P26" s="120"/>
      <c r="Q26" s="120"/>
      <c r="R26" s="120"/>
      <c r="S26" s="121"/>
    </row>
    <row r="27" spans="2:19" x14ac:dyDescent="0.2">
      <c r="B27" s="122"/>
      <c r="C27" s="120"/>
      <c r="D27" s="120"/>
      <c r="E27" s="120"/>
      <c r="F27" s="121"/>
      <c r="L27" s="122"/>
      <c r="M27" s="120"/>
      <c r="N27" s="120"/>
      <c r="O27" s="120"/>
      <c r="P27" s="120"/>
      <c r="Q27" s="120"/>
      <c r="R27" s="120"/>
      <c r="S27" s="121"/>
    </row>
    <row r="28" spans="2:19" x14ac:dyDescent="0.2">
      <c r="B28" s="122"/>
      <c r="C28" s="120"/>
      <c r="D28" s="120"/>
      <c r="E28" s="120"/>
      <c r="F28" s="121"/>
      <c r="L28" s="122"/>
      <c r="M28" s="120"/>
      <c r="N28" s="120"/>
      <c r="O28" s="120"/>
      <c r="P28" s="120"/>
      <c r="Q28" s="120"/>
      <c r="R28" s="120"/>
      <c r="S28" s="121"/>
    </row>
    <row r="29" spans="2:19" x14ac:dyDescent="0.2">
      <c r="B29" s="122"/>
      <c r="C29" s="120"/>
      <c r="D29" s="120"/>
      <c r="E29" s="120"/>
      <c r="F29" s="121"/>
      <c r="L29" s="122"/>
      <c r="M29" s="120"/>
      <c r="N29" s="120"/>
      <c r="O29" s="120"/>
      <c r="P29" s="120"/>
      <c r="Q29" s="120"/>
      <c r="R29" s="120"/>
      <c r="S29" s="121"/>
    </row>
    <row r="30" spans="2:19" x14ac:dyDescent="0.2">
      <c r="B30" s="122"/>
      <c r="C30" s="120"/>
      <c r="D30" s="120"/>
      <c r="E30" s="120"/>
      <c r="F30" s="121"/>
      <c r="L30" s="122"/>
      <c r="M30" s="120"/>
      <c r="N30" s="120"/>
      <c r="O30" s="120"/>
      <c r="P30" s="120"/>
      <c r="Q30" s="120"/>
      <c r="R30" s="120"/>
      <c r="S30" s="121"/>
    </row>
    <row r="31" spans="2:19" x14ac:dyDescent="0.2">
      <c r="B31" s="122"/>
      <c r="C31" s="120"/>
      <c r="D31" s="120"/>
      <c r="E31" s="120"/>
      <c r="F31" s="121"/>
      <c r="L31" s="123"/>
      <c r="M31" s="124"/>
      <c r="N31" s="124"/>
      <c r="O31" s="124"/>
      <c r="P31" s="124"/>
      <c r="Q31" s="124"/>
      <c r="R31" s="124"/>
      <c r="S31" s="125"/>
    </row>
    <row r="32" spans="2:19" x14ac:dyDescent="0.2">
      <c r="B32" s="122"/>
      <c r="C32" s="120"/>
      <c r="D32" s="120"/>
      <c r="E32" s="120"/>
      <c r="F32" s="121"/>
    </row>
    <row r="33" spans="2:20" ht="16.5" x14ac:dyDescent="0.2">
      <c r="B33" s="122"/>
      <c r="C33" s="120"/>
      <c r="D33" s="120"/>
      <c r="E33" s="120"/>
      <c r="F33" s="121"/>
      <c r="L33" s="437" t="s">
        <v>413</v>
      </c>
      <c r="M33" s="117"/>
      <c r="N33" s="117"/>
      <c r="O33" s="117"/>
      <c r="P33" s="117"/>
      <c r="Q33" s="117"/>
      <c r="R33" s="117"/>
      <c r="S33" s="118"/>
    </row>
    <row r="34" spans="2:20" x14ac:dyDescent="0.2">
      <c r="B34" s="122"/>
      <c r="C34" s="120"/>
      <c r="D34" s="120"/>
      <c r="E34" s="120"/>
      <c r="F34" s="121"/>
      <c r="L34" s="122"/>
      <c r="M34" s="120"/>
      <c r="N34" s="120"/>
      <c r="O34" s="120"/>
      <c r="P34" s="120"/>
      <c r="Q34" s="120"/>
      <c r="R34" s="120"/>
      <c r="S34" s="121"/>
    </row>
    <row r="35" spans="2:20" ht="13.5" x14ac:dyDescent="0.2">
      <c r="B35" s="122"/>
      <c r="C35" s="120"/>
      <c r="D35" s="120"/>
      <c r="E35" s="120"/>
      <c r="F35" s="121"/>
      <c r="L35" s="90" t="s">
        <v>371</v>
      </c>
      <c r="M35" s="151">
        <v>45504</v>
      </c>
      <c r="N35" s="89"/>
      <c r="O35" s="120"/>
      <c r="P35" s="120"/>
      <c r="Q35" s="120"/>
      <c r="R35" s="120"/>
      <c r="S35" s="121"/>
    </row>
    <row r="36" spans="2:20" ht="16.5" x14ac:dyDescent="0.2">
      <c r="B36" s="122"/>
      <c r="C36" s="120"/>
      <c r="D36" s="120"/>
      <c r="E36" s="120"/>
      <c r="F36" s="121"/>
      <c r="L36" s="90" t="s">
        <v>76</v>
      </c>
      <c r="M36" s="152" t="s">
        <v>77</v>
      </c>
      <c r="N36" s="89"/>
      <c r="O36" s="120"/>
      <c r="P36" s="120"/>
      <c r="Q36" s="120"/>
      <c r="R36" s="120"/>
      <c r="S36" s="121"/>
      <c r="T36" s="364"/>
    </row>
    <row r="37" spans="2:20" ht="13.5" x14ac:dyDescent="0.2">
      <c r="B37" s="122"/>
      <c r="C37" s="120"/>
      <c r="D37" s="120"/>
      <c r="E37" s="120"/>
      <c r="F37" s="121"/>
      <c r="L37" s="90" t="s">
        <v>71</v>
      </c>
      <c r="M37" s="151" t="s">
        <v>414</v>
      </c>
      <c r="N37" s="89">
        <f>YEARFRAC(M35,M37,3)</f>
        <v>1.6958904109589041</v>
      </c>
      <c r="O37" s="120"/>
      <c r="P37" s="120"/>
      <c r="Q37" s="120"/>
      <c r="R37" s="120"/>
      <c r="S37" s="121"/>
    </row>
    <row r="38" spans="2:20" x14ac:dyDescent="0.2">
      <c r="B38" s="122"/>
      <c r="C38" s="120"/>
      <c r="D38" s="120"/>
      <c r="E38" s="120"/>
      <c r="F38" s="121"/>
      <c r="L38" s="122"/>
      <c r="N38" s="120"/>
      <c r="O38" s="120"/>
      <c r="P38" s="120"/>
      <c r="Q38" s="120"/>
      <c r="R38" s="120"/>
      <c r="S38" s="121"/>
    </row>
    <row r="39" spans="2:20" x14ac:dyDescent="0.2">
      <c r="B39" s="122"/>
      <c r="C39" s="120"/>
      <c r="D39" s="120"/>
      <c r="E39" s="120"/>
      <c r="F39" s="121"/>
      <c r="L39" s="122"/>
      <c r="M39" s="120"/>
      <c r="N39" s="120"/>
      <c r="O39" s="120"/>
      <c r="P39" s="120"/>
      <c r="Q39" s="120"/>
      <c r="R39" s="120"/>
      <c r="S39" s="121"/>
    </row>
    <row r="40" spans="2:20" ht="16.5" x14ac:dyDescent="0.2">
      <c r="B40" s="122"/>
      <c r="C40" s="120"/>
      <c r="D40" s="120"/>
      <c r="E40" s="120"/>
      <c r="F40" s="121"/>
      <c r="L40" s="438" t="s">
        <v>415</v>
      </c>
      <c r="M40" s="120"/>
      <c r="N40" s="120"/>
      <c r="O40" s="120"/>
      <c r="P40" s="120"/>
      <c r="Q40" s="120"/>
      <c r="R40" s="120"/>
      <c r="S40" s="121"/>
    </row>
    <row r="41" spans="2:20" ht="16.5" x14ac:dyDescent="0.2">
      <c r="B41" s="122"/>
      <c r="C41" s="120"/>
      <c r="D41" s="120"/>
      <c r="E41" s="120"/>
      <c r="F41" s="121"/>
      <c r="L41" s="439" t="s">
        <v>416</v>
      </c>
      <c r="M41" s="120"/>
      <c r="N41" s="120"/>
      <c r="O41" s="120"/>
      <c r="P41" s="120"/>
      <c r="Q41" s="120"/>
      <c r="R41" s="440"/>
      <c r="S41" s="441"/>
    </row>
    <row r="42" spans="2:20" ht="16.5" x14ac:dyDescent="0.2">
      <c r="B42" s="122"/>
      <c r="C42" s="89"/>
      <c r="D42" s="120"/>
      <c r="E42" s="120"/>
      <c r="F42" s="121"/>
      <c r="L42" s="442" t="s">
        <v>417</v>
      </c>
      <c r="M42" s="442" t="s">
        <v>418</v>
      </c>
      <c r="N42" s="442" t="s">
        <v>419</v>
      </c>
      <c r="O42" s="442" t="s">
        <v>332</v>
      </c>
      <c r="P42" s="442" t="s">
        <v>420</v>
      </c>
      <c r="Q42" s="442" t="s">
        <v>421</v>
      </c>
      <c r="R42" s="442" t="s">
        <v>335</v>
      </c>
      <c r="S42" s="442" t="s">
        <v>422</v>
      </c>
    </row>
    <row r="43" spans="2:20" ht="16.5" x14ac:dyDescent="0.2">
      <c r="B43" s="122"/>
      <c r="C43" s="89"/>
      <c r="D43" s="120"/>
      <c r="E43" s="120"/>
      <c r="F43" s="121"/>
      <c r="L43" s="442" t="s">
        <v>423</v>
      </c>
      <c r="M43" s="442">
        <v>10</v>
      </c>
      <c r="N43" s="443">
        <v>1.23</v>
      </c>
      <c r="O43" s="444">
        <v>45009</v>
      </c>
      <c r="P43" s="444">
        <v>45189</v>
      </c>
      <c r="Q43" s="444">
        <v>45257</v>
      </c>
      <c r="R43" s="442" t="s">
        <v>424</v>
      </c>
      <c r="S43" s="442" t="s">
        <v>343</v>
      </c>
    </row>
    <row r="44" spans="2:20" ht="16.5" x14ac:dyDescent="0.2">
      <c r="B44" s="122"/>
      <c r="C44" s="120"/>
      <c r="D44" s="120"/>
      <c r="E44" s="120"/>
      <c r="F44" s="121"/>
      <c r="L44" s="442" t="s">
        <v>425</v>
      </c>
      <c r="M44" s="442">
        <v>208.7</v>
      </c>
      <c r="N44" s="443">
        <v>0.82</v>
      </c>
      <c r="O44" s="444">
        <v>44907</v>
      </c>
      <c r="P44" s="444">
        <v>45231</v>
      </c>
      <c r="Q44" s="444">
        <v>45287</v>
      </c>
      <c r="R44" s="445" t="s">
        <v>426</v>
      </c>
      <c r="S44" s="442" t="s">
        <v>427</v>
      </c>
    </row>
    <row r="45" spans="2:20" ht="16.5" x14ac:dyDescent="0.2">
      <c r="B45" s="122"/>
      <c r="C45" s="120"/>
      <c r="D45" s="120"/>
      <c r="E45" s="120"/>
      <c r="F45" s="121"/>
      <c r="L45" s="140" t="s">
        <v>79</v>
      </c>
      <c r="M45" s="140">
        <v>301</v>
      </c>
      <c r="N45" s="443">
        <v>1.38</v>
      </c>
      <c r="O45" s="444">
        <v>45064</v>
      </c>
      <c r="P45" s="444">
        <v>45190</v>
      </c>
      <c r="Q45" s="444">
        <v>45217</v>
      </c>
      <c r="R45" s="442" t="s">
        <v>428</v>
      </c>
      <c r="S45" s="442" t="s">
        <v>429</v>
      </c>
    </row>
    <row r="46" spans="2:20" ht="16.5" x14ac:dyDescent="0.2">
      <c r="B46" s="122"/>
      <c r="C46" s="120"/>
      <c r="D46" s="120"/>
      <c r="E46" s="120"/>
      <c r="F46" s="121"/>
      <c r="L46" s="442" t="s">
        <v>430</v>
      </c>
      <c r="M46" s="442">
        <v>32.89</v>
      </c>
      <c r="N46" s="443">
        <v>0.43</v>
      </c>
      <c r="O46" s="444">
        <v>45006</v>
      </c>
      <c r="P46" s="444">
        <v>45281</v>
      </c>
      <c r="Q46" s="442"/>
      <c r="R46" s="442" t="s">
        <v>73</v>
      </c>
      <c r="S46" s="442" t="s">
        <v>431</v>
      </c>
    </row>
    <row r="47" spans="2:20" x14ac:dyDescent="0.2">
      <c r="B47" s="122"/>
      <c r="C47" s="120"/>
      <c r="D47" s="120"/>
      <c r="E47" s="120"/>
      <c r="F47" s="121"/>
    </row>
    <row r="48" spans="2:20" x14ac:dyDescent="0.2">
      <c r="B48" s="122"/>
      <c r="C48" s="120"/>
      <c r="D48" s="120"/>
      <c r="E48" s="120"/>
      <c r="F48" s="121"/>
    </row>
    <row r="49" spans="2:6" x14ac:dyDescent="0.2">
      <c r="B49" s="122"/>
      <c r="C49" s="120"/>
      <c r="D49" s="120"/>
      <c r="E49" s="120"/>
      <c r="F49" s="121"/>
    </row>
    <row r="50" spans="2:6" x14ac:dyDescent="0.2">
      <c r="B50" s="122"/>
      <c r="C50" s="120"/>
      <c r="D50" s="120"/>
      <c r="E50" s="120"/>
      <c r="F50" s="121"/>
    </row>
    <row r="51" spans="2:6" x14ac:dyDescent="0.2">
      <c r="B51" s="122"/>
      <c r="C51" s="120"/>
      <c r="D51" s="120"/>
      <c r="E51" s="120"/>
      <c r="F51" s="121"/>
    </row>
    <row r="52" spans="2:6" x14ac:dyDescent="0.2">
      <c r="B52" s="122"/>
      <c r="C52" s="120"/>
      <c r="D52" s="120"/>
      <c r="E52" s="120"/>
      <c r="F52" s="121"/>
    </row>
    <row r="53" spans="2:6" x14ac:dyDescent="0.2">
      <c r="B53" s="122"/>
      <c r="C53" s="120"/>
      <c r="D53" s="120"/>
      <c r="E53" s="120"/>
      <c r="F53" s="121"/>
    </row>
    <row r="54" spans="2:6" x14ac:dyDescent="0.2">
      <c r="B54" s="122"/>
      <c r="C54" s="120"/>
      <c r="D54" s="120"/>
      <c r="E54" s="120"/>
      <c r="F54" s="121"/>
    </row>
    <row r="55" spans="2:6" x14ac:dyDescent="0.2">
      <c r="B55" s="122"/>
      <c r="C55" s="120"/>
      <c r="D55" s="120"/>
      <c r="E55" s="120"/>
      <c r="F55" s="121"/>
    </row>
    <row r="56" spans="2:6" x14ac:dyDescent="0.2">
      <c r="B56" s="122"/>
      <c r="C56" s="120"/>
      <c r="D56" s="120"/>
      <c r="E56" s="120"/>
      <c r="F56" s="121"/>
    </row>
    <row r="57" spans="2:6" x14ac:dyDescent="0.2">
      <c r="B57" s="122"/>
      <c r="C57" s="120"/>
      <c r="D57" s="120"/>
      <c r="E57" s="120"/>
      <c r="F57" s="121"/>
    </row>
    <row r="58" spans="2:6" x14ac:dyDescent="0.2">
      <c r="B58" s="122"/>
      <c r="C58" s="120"/>
      <c r="D58" s="120"/>
      <c r="E58" s="120"/>
      <c r="F58" s="121"/>
    </row>
    <row r="59" spans="2:6" x14ac:dyDescent="0.2">
      <c r="B59" s="122"/>
      <c r="C59" s="120"/>
      <c r="D59" s="120"/>
      <c r="E59" s="120"/>
      <c r="F59" s="121"/>
    </row>
    <row r="60" spans="2:6" x14ac:dyDescent="0.2">
      <c r="B60" s="122"/>
      <c r="C60" s="120"/>
      <c r="D60" s="120"/>
      <c r="E60" s="120"/>
      <c r="F60" s="121"/>
    </row>
    <row r="61" spans="2:6" x14ac:dyDescent="0.2">
      <c r="B61" s="122"/>
      <c r="C61" s="120"/>
      <c r="D61" s="120"/>
      <c r="E61" s="120"/>
      <c r="F61" s="121"/>
    </row>
    <row r="62" spans="2:6" x14ac:dyDescent="0.2">
      <c r="B62" s="122"/>
      <c r="C62" s="120"/>
      <c r="D62" s="120"/>
      <c r="E62" s="120"/>
      <c r="F62" s="121"/>
    </row>
    <row r="63" spans="2:6" x14ac:dyDescent="0.2">
      <c r="B63" s="122"/>
      <c r="C63" s="120"/>
      <c r="D63" s="120"/>
      <c r="E63" s="120"/>
      <c r="F63" s="121"/>
    </row>
    <row r="64" spans="2:6" x14ac:dyDescent="0.2">
      <c r="B64" s="122"/>
      <c r="C64" s="120"/>
      <c r="D64" s="120"/>
      <c r="E64" s="120"/>
      <c r="F64" s="121"/>
    </row>
    <row r="65" spans="2:6" x14ac:dyDescent="0.2">
      <c r="B65" s="122"/>
      <c r="C65" s="120"/>
      <c r="D65" s="120"/>
      <c r="E65" s="120"/>
      <c r="F65" s="121"/>
    </row>
    <row r="66" spans="2:6" x14ac:dyDescent="0.2">
      <c r="B66" s="122"/>
      <c r="C66" s="120"/>
      <c r="D66" s="120"/>
      <c r="E66" s="120"/>
      <c r="F66" s="121"/>
    </row>
    <row r="67" spans="2:6" x14ac:dyDescent="0.2">
      <c r="B67" s="122"/>
      <c r="C67" s="120"/>
      <c r="D67" s="120"/>
      <c r="E67" s="120"/>
      <c r="F67" s="121"/>
    </row>
    <row r="68" spans="2:6" x14ac:dyDescent="0.2">
      <c r="B68" s="122"/>
      <c r="C68" s="120"/>
      <c r="D68" s="120"/>
      <c r="E68" s="120"/>
      <c r="F68" s="121"/>
    </row>
    <row r="69" spans="2:6" x14ac:dyDescent="0.2">
      <c r="B69" s="122"/>
      <c r="C69" s="120"/>
      <c r="D69" s="120"/>
      <c r="E69" s="120"/>
      <c r="F69" s="121"/>
    </row>
    <row r="70" spans="2:6" x14ac:dyDescent="0.2">
      <c r="B70" s="122"/>
      <c r="C70" s="120"/>
      <c r="D70" s="120"/>
      <c r="E70" s="120"/>
      <c r="F70" s="121"/>
    </row>
    <row r="71" spans="2:6" x14ac:dyDescent="0.2">
      <c r="B71" s="122"/>
      <c r="C71" s="120"/>
      <c r="D71" s="120"/>
      <c r="E71" s="120"/>
      <c r="F71" s="121"/>
    </row>
    <row r="72" spans="2:6" ht="13.5" x14ac:dyDescent="0.2">
      <c r="B72" s="122"/>
      <c r="C72" s="142" t="s">
        <v>140</v>
      </c>
      <c r="D72" s="120"/>
      <c r="E72" s="120"/>
      <c r="F72" s="121"/>
    </row>
    <row r="73" spans="2:6" ht="13.5" x14ac:dyDescent="0.2">
      <c r="B73" s="122"/>
      <c r="C73" s="89" t="s">
        <v>432</v>
      </c>
      <c r="D73" s="120"/>
      <c r="E73" s="120"/>
      <c r="F73" s="121"/>
    </row>
    <row r="74" spans="2:6" x14ac:dyDescent="0.2">
      <c r="B74" s="122"/>
      <c r="C74" s="120"/>
      <c r="D74" s="120"/>
      <c r="E74" s="120"/>
      <c r="F74" s="121"/>
    </row>
    <row r="75" spans="2:6" x14ac:dyDescent="0.2">
      <c r="B75" s="122"/>
      <c r="C75" s="120"/>
      <c r="D75" s="120"/>
      <c r="E75" s="120"/>
      <c r="F75" s="121"/>
    </row>
    <row r="76" spans="2:6" x14ac:dyDescent="0.2">
      <c r="B76" s="122"/>
      <c r="C76" s="120"/>
      <c r="D76" s="120"/>
      <c r="E76" s="120"/>
      <c r="F76" s="121"/>
    </row>
    <row r="77" spans="2:6" x14ac:dyDescent="0.2">
      <c r="B77" s="122"/>
      <c r="C77" s="120"/>
      <c r="D77" s="120"/>
      <c r="E77" s="120"/>
      <c r="F77" s="121"/>
    </row>
    <row r="78" spans="2:6" x14ac:dyDescent="0.2">
      <c r="B78" s="122"/>
      <c r="C78" s="120"/>
      <c r="D78" s="120"/>
      <c r="E78" s="120"/>
      <c r="F78" s="121"/>
    </row>
    <row r="79" spans="2:6" x14ac:dyDescent="0.2">
      <c r="B79" s="122"/>
      <c r="C79" s="120"/>
      <c r="D79" s="120"/>
      <c r="E79" s="120"/>
      <c r="F79" s="121"/>
    </row>
    <row r="80" spans="2:6" x14ac:dyDescent="0.2">
      <c r="B80" s="122"/>
      <c r="C80" s="120"/>
      <c r="D80" s="120"/>
      <c r="E80" s="120"/>
      <c r="F80" s="121"/>
    </row>
    <row r="81" spans="2:6" x14ac:dyDescent="0.2">
      <c r="B81" s="122"/>
      <c r="C81" s="120"/>
      <c r="D81" s="120"/>
      <c r="E81" s="120"/>
      <c r="F81" s="121"/>
    </row>
    <row r="82" spans="2:6" x14ac:dyDescent="0.2">
      <c r="B82" s="122"/>
      <c r="C82" s="120"/>
      <c r="D82" s="120"/>
      <c r="E82" s="120"/>
      <c r="F82" s="121"/>
    </row>
    <row r="83" spans="2:6" x14ac:dyDescent="0.2">
      <c r="B83" s="122"/>
      <c r="C83" s="120"/>
      <c r="D83" s="120"/>
      <c r="E83" s="120"/>
      <c r="F83" s="121"/>
    </row>
    <row r="84" spans="2:6" x14ac:dyDescent="0.2">
      <c r="B84" s="122"/>
      <c r="C84" s="120"/>
      <c r="D84" s="120"/>
      <c r="E84" s="120"/>
      <c r="F84" s="121"/>
    </row>
    <row r="85" spans="2:6" x14ac:dyDescent="0.2">
      <c r="B85" s="122"/>
      <c r="C85" s="120"/>
      <c r="D85" s="120"/>
      <c r="E85" s="120"/>
      <c r="F85" s="121"/>
    </row>
    <row r="86" spans="2:6" x14ac:dyDescent="0.2">
      <c r="B86" s="122"/>
      <c r="C86" s="120"/>
      <c r="D86" s="120"/>
      <c r="E86" s="120"/>
      <c r="F86" s="121"/>
    </row>
    <row r="87" spans="2:6" x14ac:dyDescent="0.2">
      <c r="B87" s="122"/>
      <c r="C87" s="120"/>
      <c r="D87" s="120"/>
      <c r="E87" s="120"/>
      <c r="F87" s="121"/>
    </row>
    <row r="88" spans="2:6" x14ac:dyDescent="0.2">
      <c r="B88" s="122"/>
      <c r="C88" s="120"/>
      <c r="D88" s="120"/>
      <c r="E88" s="120"/>
      <c r="F88" s="121"/>
    </row>
    <row r="89" spans="2:6" x14ac:dyDescent="0.2">
      <c r="B89" s="122"/>
      <c r="C89" s="120"/>
      <c r="D89" s="120"/>
      <c r="E89" s="120"/>
      <c r="F89" s="121"/>
    </row>
    <row r="90" spans="2:6" x14ac:dyDescent="0.2">
      <c r="B90" s="123"/>
      <c r="C90" s="124"/>
      <c r="D90" s="124"/>
      <c r="E90" s="124"/>
      <c r="F90" s="125"/>
    </row>
  </sheetData>
  <phoneticPr fontId="15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P81"/>
  <sheetViews>
    <sheetView showGridLines="0" zoomScale="80" zoomScaleNormal="80" workbookViewId="0">
      <selection activeCell="E4" sqref="E4"/>
    </sheetView>
  </sheetViews>
  <sheetFormatPr defaultRowHeight="12.75" x14ac:dyDescent="0.2"/>
  <cols>
    <col min="1" max="1" width="3.5703125" style="65" customWidth="1"/>
    <col min="2" max="2" width="15.5703125" style="65" bestFit="1" customWidth="1"/>
    <col min="3" max="3" width="35.7109375" style="65" customWidth="1"/>
    <col min="4" max="4" width="13.7109375" style="65" bestFit="1" customWidth="1"/>
    <col min="5" max="5" width="19.5703125" style="65" bestFit="1" customWidth="1"/>
    <col min="6" max="6" width="18.7109375" style="65" customWidth="1"/>
    <col min="7" max="7" width="19" style="65" customWidth="1"/>
    <col min="8" max="8" width="16.5703125" style="65" customWidth="1"/>
    <col min="9" max="9" width="13.7109375" style="65" bestFit="1" customWidth="1"/>
    <col min="10" max="10" width="17.85546875" style="65" customWidth="1"/>
    <col min="11" max="12" width="13.42578125" style="65" customWidth="1"/>
    <col min="13" max="13" width="10.140625" style="65" customWidth="1"/>
    <col min="14" max="14" width="15.5703125" style="65" customWidth="1"/>
    <col min="15" max="15" width="15.42578125" style="65" bestFit="1" customWidth="1"/>
    <col min="16" max="16" width="16" style="65" customWidth="1"/>
    <col min="17" max="17" width="9.140625" style="65"/>
    <col min="18" max="18" width="12.5703125" style="65" customWidth="1"/>
    <col min="19" max="19" width="15.5703125" style="65" bestFit="1" customWidth="1"/>
    <col min="20" max="20" width="17.28515625" style="65" customWidth="1"/>
    <col min="21" max="16384" width="9.140625" style="65"/>
  </cols>
  <sheetData>
    <row r="2" spans="2:16" ht="13.5" x14ac:dyDescent="0.2">
      <c r="B2" s="68"/>
      <c r="C2" s="68" t="s">
        <v>589</v>
      </c>
      <c r="D2" s="98">
        <v>28100</v>
      </c>
      <c r="E2" s="69"/>
      <c r="F2" s="68"/>
      <c r="G2" s="68"/>
      <c r="H2" s="70"/>
      <c r="I2" s="68"/>
      <c r="J2" s="68"/>
      <c r="K2" s="71"/>
      <c r="L2" s="70"/>
      <c r="M2" s="70"/>
      <c r="N2" s="70"/>
      <c r="O2" s="72" t="s">
        <v>22</v>
      </c>
    </row>
    <row r="3" spans="2:16" ht="18" thickBot="1" x14ac:dyDescent="0.25">
      <c r="B3" s="8" t="s">
        <v>24</v>
      </c>
      <c r="C3" s="8" t="s">
        <v>25</v>
      </c>
      <c r="D3" s="73" t="s">
        <v>26</v>
      </c>
      <c r="E3" s="26" t="s">
        <v>41</v>
      </c>
      <c r="F3" s="11" t="s">
        <v>27</v>
      </c>
      <c r="G3" s="73" t="s">
        <v>28</v>
      </c>
      <c r="H3" s="73" t="s">
        <v>29</v>
      </c>
      <c r="I3" s="73" t="s">
        <v>30</v>
      </c>
      <c r="J3" s="10" t="s">
        <v>31</v>
      </c>
      <c r="K3" s="10" t="s">
        <v>32</v>
      </c>
      <c r="L3" s="10" t="s">
        <v>33</v>
      </c>
      <c r="M3" s="12" t="s">
        <v>34</v>
      </c>
      <c r="N3" s="74" t="s">
        <v>35</v>
      </c>
      <c r="O3" s="74" t="s">
        <v>36</v>
      </c>
    </row>
    <row r="4" spans="2:16" ht="14.25" thickTop="1" x14ac:dyDescent="0.2">
      <c r="B4" s="105" t="s">
        <v>14</v>
      </c>
      <c r="C4" s="105" t="s">
        <v>15</v>
      </c>
      <c r="D4" s="106">
        <v>23233.332999999999</v>
      </c>
      <c r="E4" s="107">
        <f>IF(G4&gt;=D4,0,D4-G4)</f>
        <v>0</v>
      </c>
      <c r="F4" s="108">
        <f t="shared" ref="F4" si="0">((((H4*K4-J4-L4)*I4)*1000000))/1000000</f>
        <v>50521.710544000001</v>
      </c>
      <c r="G4" s="106">
        <f>((H4*K4-L4-J4)*I4)/(1+N4/100)^M4</f>
        <v>39483.930090478825</v>
      </c>
      <c r="H4" s="109">
        <v>258008</v>
      </c>
      <c r="I4" s="110">
        <f>300/900</f>
        <v>0.33333333333333331</v>
      </c>
      <c r="J4" s="109">
        <v>0</v>
      </c>
      <c r="K4" s="111">
        <v>0.59099999999999997</v>
      </c>
      <c r="L4" s="109">
        <f>H4*K4*0.6%+1.7+1</f>
        <v>917.5963680000001</v>
      </c>
      <c r="M4" s="112">
        <f>(O22+27)/12</f>
        <v>3.2983870967741935</v>
      </c>
      <c r="N4" s="113">
        <v>7.76</v>
      </c>
      <c r="O4" s="114" t="s">
        <v>2</v>
      </c>
    </row>
    <row r="5" spans="2:16" ht="17.25" customHeight="1" x14ac:dyDescent="0.2">
      <c r="D5" s="88">
        <f>700/D4</f>
        <v>3.0129125252928629E-2</v>
      </c>
      <c r="E5" s="115">
        <f>E4/D4</f>
        <v>0</v>
      </c>
    </row>
    <row r="7" spans="2:16" ht="16.5" x14ac:dyDescent="0.2">
      <c r="B7" s="116" t="s">
        <v>62</v>
      </c>
      <c r="C7" s="93"/>
      <c r="D7" s="117"/>
      <c r="E7" s="118"/>
      <c r="G7" s="116" t="s">
        <v>56</v>
      </c>
      <c r="H7" s="117"/>
      <c r="I7" s="117"/>
      <c r="J7" s="117"/>
      <c r="K7" s="117"/>
      <c r="L7" s="117"/>
      <c r="M7" s="117"/>
      <c r="N7" s="118"/>
    </row>
    <row r="8" spans="2:16" ht="16.5" x14ac:dyDescent="0.2">
      <c r="B8" s="119"/>
      <c r="C8" s="89"/>
      <c r="D8" s="120"/>
      <c r="E8" s="121"/>
      <c r="G8" s="90"/>
      <c r="H8" s="120"/>
      <c r="I8" s="120"/>
      <c r="J8" s="120"/>
      <c r="K8" s="120"/>
      <c r="L8" s="120"/>
      <c r="M8" s="120"/>
      <c r="N8" s="121"/>
    </row>
    <row r="9" spans="2:16" ht="13.5" x14ac:dyDescent="0.2">
      <c r="B9" s="122"/>
      <c r="C9" s="120"/>
      <c r="D9" s="120"/>
      <c r="E9" s="121"/>
      <c r="G9" s="90"/>
      <c r="H9" s="120"/>
      <c r="I9" s="120"/>
      <c r="J9" s="120"/>
      <c r="K9" s="120"/>
      <c r="L9" s="120"/>
      <c r="M9" s="120"/>
      <c r="N9" s="121"/>
    </row>
    <row r="10" spans="2:16" x14ac:dyDescent="0.2">
      <c r="B10" s="122"/>
      <c r="C10" s="120"/>
      <c r="D10" s="120"/>
      <c r="E10" s="121"/>
      <c r="F10" s="86"/>
      <c r="G10" s="122"/>
      <c r="H10" s="120"/>
      <c r="I10" s="120"/>
      <c r="J10" s="120"/>
      <c r="K10" s="120"/>
      <c r="L10" s="120"/>
      <c r="M10" s="120"/>
      <c r="N10" s="121"/>
    </row>
    <row r="11" spans="2:16" x14ac:dyDescent="0.2">
      <c r="B11" s="122"/>
      <c r="C11" s="120"/>
      <c r="D11" s="120"/>
      <c r="E11" s="121"/>
      <c r="G11" s="122"/>
      <c r="H11" s="120"/>
      <c r="I11" s="120"/>
      <c r="J11" s="120"/>
      <c r="K11" s="120"/>
      <c r="L11" s="120"/>
      <c r="M11" s="120"/>
      <c r="N11" s="121"/>
    </row>
    <row r="12" spans="2:16" x14ac:dyDescent="0.2">
      <c r="B12" s="122"/>
      <c r="C12" s="120"/>
      <c r="D12" s="120"/>
      <c r="E12" s="121"/>
      <c r="G12" s="122"/>
      <c r="H12" s="120"/>
      <c r="I12" s="120"/>
      <c r="J12" s="120"/>
      <c r="K12" s="120"/>
      <c r="L12" s="120"/>
      <c r="M12" s="120"/>
      <c r="N12" s="121"/>
    </row>
    <row r="13" spans="2:16" x14ac:dyDescent="0.2">
      <c r="B13" s="122"/>
      <c r="C13" s="120"/>
      <c r="D13" s="120"/>
      <c r="E13" s="121"/>
      <c r="G13" s="123"/>
      <c r="H13" s="124"/>
      <c r="I13" s="124"/>
      <c r="J13" s="124"/>
      <c r="K13" s="124"/>
      <c r="L13" s="124"/>
      <c r="M13" s="124"/>
      <c r="N13" s="125"/>
    </row>
    <row r="14" spans="2:16" x14ac:dyDescent="0.2">
      <c r="B14" s="122"/>
      <c r="C14" s="120"/>
      <c r="D14" s="120"/>
      <c r="E14" s="121"/>
    </row>
    <row r="15" spans="2:16" ht="16.5" x14ac:dyDescent="0.2">
      <c r="B15" s="122"/>
      <c r="C15" s="120"/>
      <c r="D15" s="120"/>
      <c r="E15" s="121"/>
      <c r="G15" s="126" t="s">
        <v>575</v>
      </c>
      <c r="H15" s="127"/>
      <c r="I15" s="128"/>
      <c r="J15" s="128"/>
      <c r="K15" s="128"/>
      <c r="L15" s="128"/>
      <c r="M15" s="128"/>
      <c r="N15" s="128"/>
      <c r="O15" s="117"/>
      <c r="P15" s="118"/>
    </row>
    <row r="16" spans="2:16" ht="16.5" x14ac:dyDescent="0.2">
      <c r="B16" s="123"/>
      <c r="C16" s="124"/>
      <c r="D16" s="124"/>
      <c r="E16" s="125"/>
      <c r="G16" s="129" t="s">
        <v>576</v>
      </c>
      <c r="H16" s="130"/>
      <c r="I16" s="131"/>
      <c r="J16" s="131"/>
      <c r="K16" s="131"/>
      <c r="L16" s="131"/>
      <c r="M16" s="131"/>
      <c r="N16" s="131"/>
      <c r="O16" s="120"/>
      <c r="P16" s="121"/>
    </row>
    <row r="17" spans="2:16" ht="16.5" x14ac:dyDescent="0.2">
      <c r="G17" s="129" t="s">
        <v>80</v>
      </c>
      <c r="H17" s="130"/>
      <c r="I17" s="131"/>
      <c r="J17" s="131"/>
      <c r="K17" s="131"/>
      <c r="L17" s="131"/>
      <c r="M17" s="131"/>
      <c r="N17" s="131"/>
      <c r="O17" s="120"/>
      <c r="P17" s="121"/>
    </row>
    <row r="18" spans="2:16" ht="16.5" x14ac:dyDescent="0.2">
      <c r="B18" s="116" t="s">
        <v>57</v>
      </c>
      <c r="C18" s="117"/>
      <c r="D18" s="117"/>
      <c r="E18" s="118"/>
      <c r="G18" s="132" t="s">
        <v>43</v>
      </c>
      <c r="H18" s="130"/>
      <c r="I18" s="131"/>
      <c r="J18" s="131"/>
      <c r="K18" s="131"/>
      <c r="L18" s="131"/>
      <c r="M18" s="131"/>
      <c r="N18" s="131"/>
      <c r="O18" s="120"/>
      <c r="P18" s="121"/>
    </row>
    <row r="19" spans="2:16" ht="16.5" x14ac:dyDescent="0.2">
      <c r="B19" s="122"/>
      <c r="C19" s="133" t="s">
        <v>586</v>
      </c>
      <c r="D19" s="120"/>
      <c r="E19" s="121"/>
      <c r="G19" s="132"/>
      <c r="H19" s="130"/>
      <c r="I19" s="131"/>
      <c r="J19" s="131"/>
      <c r="K19" s="131"/>
      <c r="L19" s="131"/>
      <c r="M19" s="131"/>
      <c r="N19" s="131"/>
      <c r="O19" s="120"/>
      <c r="P19" s="121"/>
    </row>
    <row r="20" spans="2:16" ht="16.5" x14ac:dyDescent="0.2">
      <c r="B20" s="122"/>
      <c r="C20" s="89" t="s">
        <v>58</v>
      </c>
      <c r="D20" s="120"/>
      <c r="E20" s="121"/>
      <c r="G20" s="134" t="s">
        <v>44</v>
      </c>
      <c r="H20" s="130"/>
      <c r="I20" s="131"/>
      <c r="J20" s="131"/>
      <c r="K20" s="131"/>
      <c r="L20" s="131"/>
      <c r="M20" s="131"/>
      <c r="N20" s="131"/>
      <c r="O20" s="223">
        <v>45504</v>
      </c>
      <c r="P20" s="121"/>
    </row>
    <row r="21" spans="2:16" ht="16.5" x14ac:dyDescent="0.2">
      <c r="B21" s="122"/>
      <c r="C21" s="120"/>
      <c r="D21" s="120"/>
      <c r="E21" s="121"/>
      <c r="G21" s="132"/>
      <c r="H21" s="130"/>
      <c r="I21" s="131"/>
      <c r="J21" s="131"/>
      <c r="K21" s="131"/>
      <c r="L21" s="131"/>
      <c r="M21" s="131"/>
      <c r="N21" s="131"/>
      <c r="O21" s="223">
        <v>45894</v>
      </c>
      <c r="P21" s="121"/>
    </row>
    <row r="22" spans="2:16" ht="16.5" x14ac:dyDescent="0.2">
      <c r="B22" s="122"/>
      <c r="C22" s="120"/>
      <c r="D22" s="120"/>
      <c r="E22" s="121"/>
      <c r="G22" s="132"/>
      <c r="H22" s="130"/>
      <c r="I22" s="131"/>
      <c r="J22" s="131"/>
      <c r="K22" s="131"/>
      <c r="L22" s="131"/>
      <c r="M22" s="131"/>
      <c r="N22" s="131"/>
      <c r="O22" s="230">
        <f>(O21-O20)/31</f>
        <v>12.580645161290322</v>
      </c>
      <c r="P22" s="121"/>
    </row>
    <row r="23" spans="2:16" ht="16.5" x14ac:dyDescent="0.2">
      <c r="B23" s="122"/>
      <c r="C23" s="120"/>
      <c r="D23" s="120"/>
      <c r="E23" s="121"/>
      <c r="G23" s="132"/>
      <c r="H23" s="130"/>
      <c r="I23" s="131"/>
      <c r="J23" s="131"/>
      <c r="K23" s="131"/>
      <c r="L23" s="131"/>
      <c r="M23" s="131"/>
      <c r="N23" s="131"/>
      <c r="O23" s="120"/>
      <c r="P23" s="121"/>
    </row>
    <row r="24" spans="2:16" ht="16.5" x14ac:dyDescent="0.2">
      <c r="B24" s="122"/>
      <c r="C24" s="120"/>
      <c r="D24" s="120"/>
      <c r="E24" s="121"/>
      <c r="G24" s="132"/>
      <c r="H24" s="130"/>
      <c r="I24" s="131"/>
      <c r="J24" s="131"/>
      <c r="K24" s="131"/>
      <c r="L24" s="131"/>
      <c r="M24" s="131"/>
      <c r="N24" s="131"/>
      <c r="O24" s="120"/>
      <c r="P24" s="121"/>
    </row>
    <row r="25" spans="2:16" ht="16.5" x14ac:dyDescent="0.2">
      <c r="B25" s="122"/>
      <c r="C25" s="120"/>
      <c r="D25" s="120"/>
      <c r="E25" s="121"/>
      <c r="G25" s="132"/>
      <c r="H25" s="130"/>
      <c r="I25" s="131"/>
      <c r="J25" s="131"/>
      <c r="K25" s="131"/>
      <c r="L25" s="131"/>
      <c r="M25" s="131"/>
      <c r="N25" s="131"/>
      <c r="O25" s="120"/>
      <c r="P25" s="121"/>
    </row>
    <row r="26" spans="2:16" ht="16.5" x14ac:dyDescent="0.2">
      <c r="B26" s="122"/>
      <c r="C26" s="120"/>
      <c r="D26" s="120"/>
      <c r="E26" s="121"/>
      <c r="G26" s="134" t="s">
        <v>45</v>
      </c>
      <c r="H26" s="130"/>
      <c r="I26" s="131"/>
      <c r="J26" s="131"/>
      <c r="K26" s="131"/>
      <c r="L26" s="131"/>
      <c r="M26" s="131"/>
      <c r="N26" s="131"/>
      <c r="O26" s="120"/>
      <c r="P26" s="121"/>
    </row>
    <row r="27" spans="2:16" ht="16.5" x14ac:dyDescent="0.2">
      <c r="B27" s="122"/>
      <c r="C27" s="120"/>
      <c r="D27" s="120"/>
      <c r="E27" s="121"/>
      <c r="G27" s="135" t="s">
        <v>46</v>
      </c>
      <c r="H27" s="135" t="s">
        <v>47</v>
      </c>
      <c r="I27" s="135" t="s">
        <v>48</v>
      </c>
      <c r="J27" s="135" t="s">
        <v>49</v>
      </c>
      <c r="K27" s="135" t="s">
        <v>50</v>
      </c>
      <c r="L27" s="135" t="s">
        <v>51</v>
      </c>
      <c r="M27" s="135" t="s">
        <v>52</v>
      </c>
      <c r="N27" s="131"/>
      <c r="O27" s="120"/>
      <c r="P27" s="121"/>
    </row>
    <row r="28" spans="2:16" ht="16.5" x14ac:dyDescent="0.2">
      <c r="B28" s="122"/>
      <c r="C28" s="120"/>
      <c r="D28" s="120"/>
      <c r="E28" s="121"/>
      <c r="G28" s="135">
        <v>29</v>
      </c>
      <c r="H28" s="136">
        <v>0.65200000000000002</v>
      </c>
      <c r="I28" s="137">
        <v>44313</v>
      </c>
      <c r="J28" s="137">
        <v>45027</v>
      </c>
      <c r="K28" s="137">
        <v>45287</v>
      </c>
      <c r="L28" s="135" t="s">
        <v>81</v>
      </c>
      <c r="M28" s="135"/>
      <c r="N28" s="131"/>
      <c r="O28" s="120"/>
      <c r="P28" s="138"/>
    </row>
    <row r="29" spans="2:16" ht="16.5" x14ac:dyDescent="0.2">
      <c r="B29" s="122"/>
      <c r="C29" s="120"/>
      <c r="D29" s="120"/>
      <c r="E29" s="121"/>
      <c r="G29" s="135">
        <v>58</v>
      </c>
      <c r="H29" s="136">
        <v>0.53</v>
      </c>
      <c r="I29" s="137">
        <v>44313</v>
      </c>
      <c r="J29" s="137">
        <v>45132</v>
      </c>
      <c r="K29" s="137">
        <v>45287</v>
      </c>
      <c r="L29" s="139" t="s">
        <v>82</v>
      </c>
      <c r="M29" s="135"/>
      <c r="N29" s="131"/>
      <c r="O29" s="120"/>
      <c r="P29" s="138"/>
    </row>
    <row r="30" spans="2:16" ht="16.5" x14ac:dyDescent="0.2">
      <c r="B30" s="122"/>
      <c r="C30" s="120"/>
      <c r="D30" s="120"/>
      <c r="E30" s="121"/>
      <c r="G30" s="140">
        <v>22</v>
      </c>
      <c r="H30" s="136">
        <v>0.41</v>
      </c>
      <c r="I30" s="137">
        <v>44827</v>
      </c>
      <c r="J30" s="137">
        <v>45237</v>
      </c>
      <c r="K30" s="137">
        <v>45309</v>
      </c>
      <c r="L30" s="135" t="s">
        <v>83</v>
      </c>
      <c r="M30" s="135"/>
      <c r="N30" s="131"/>
      <c r="O30" s="120"/>
      <c r="P30" s="121"/>
    </row>
    <row r="31" spans="2:16" ht="16.5" x14ac:dyDescent="0.2">
      <c r="B31" s="122"/>
      <c r="C31" s="120"/>
      <c r="D31" s="120"/>
      <c r="E31" s="121"/>
      <c r="G31" s="135">
        <v>23</v>
      </c>
      <c r="H31" s="136">
        <v>0.81</v>
      </c>
      <c r="I31" s="137">
        <v>44945</v>
      </c>
      <c r="J31" s="137">
        <v>45272</v>
      </c>
      <c r="K31" s="135"/>
      <c r="L31" s="135" t="s">
        <v>78</v>
      </c>
      <c r="M31" s="135"/>
      <c r="N31" s="131"/>
      <c r="O31" s="120"/>
      <c r="P31" s="121"/>
    </row>
    <row r="32" spans="2:16" x14ac:dyDescent="0.2">
      <c r="B32" s="122"/>
      <c r="C32" s="120"/>
      <c r="D32" s="120"/>
      <c r="E32" s="121"/>
      <c r="G32" s="122"/>
      <c r="H32" s="120"/>
      <c r="I32" s="120"/>
      <c r="J32" s="120"/>
      <c r="K32" s="120"/>
      <c r="L32" s="120"/>
      <c r="M32" s="120"/>
      <c r="N32" s="120"/>
      <c r="O32" s="120"/>
      <c r="P32" s="121"/>
    </row>
    <row r="33" spans="2:16" x14ac:dyDescent="0.2">
      <c r="B33" s="122"/>
      <c r="C33" s="120"/>
      <c r="D33" s="120"/>
      <c r="E33" s="121"/>
      <c r="G33" s="122"/>
      <c r="H33" s="120"/>
      <c r="I33" s="120"/>
      <c r="J33" s="120"/>
      <c r="K33" s="120"/>
      <c r="L33" s="120"/>
      <c r="M33" s="120"/>
      <c r="N33" s="120"/>
      <c r="O33" s="120"/>
      <c r="P33" s="121"/>
    </row>
    <row r="34" spans="2:16" x14ac:dyDescent="0.2">
      <c r="B34" s="122"/>
      <c r="C34" s="120"/>
      <c r="D34" s="120"/>
      <c r="E34" s="121"/>
      <c r="G34" s="122"/>
      <c r="H34" s="120"/>
      <c r="I34" s="120"/>
      <c r="J34" s="120"/>
      <c r="K34" s="120"/>
      <c r="L34" s="120"/>
      <c r="M34" s="120"/>
      <c r="N34" s="120"/>
      <c r="O34" s="120"/>
      <c r="P34" s="141"/>
    </row>
    <row r="35" spans="2:16" x14ac:dyDescent="0.2">
      <c r="B35" s="122"/>
      <c r="C35" s="120"/>
      <c r="D35" s="120"/>
      <c r="E35" s="121"/>
      <c r="G35" s="122"/>
      <c r="H35" s="120"/>
      <c r="I35" s="120"/>
      <c r="J35" s="120"/>
      <c r="K35" s="120"/>
      <c r="L35" s="120"/>
      <c r="M35" s="120"/>
      <c r="N35" s="120"/>
      <c r="O35" s="120"/>
      <c r="P35" s="121"/>
    </row>
    <row r="36" spans="2:16" ht="13.5" x14ac:dyDescent="0.2">
      <c r="B36" s="122"/>
      <c r="C36" s="89" t="s">
        <v>585</v>
      </c>
      <c r="D36" s="120"/>
      <c r="E36" s="121"/>
      <c r="G36" s="122"/>
      <c r="H36" s="120"/>
      <c r="I36" s="120"/>
      <c r="J36" s="120"/>
      <c r="K36" s="120"/>
      <c r="L36" s="120"/>
      <c r="M36" s="120"/>
      <c r="N36" s="120"/>
      <c r="O36" s="120"/>
      <c r="P36" s="121"/>
    </row>
    <row r="37" spans="2:16" ht="13.5" x14ac:dyDescent="0.2">
      <c r="B37" s="122"/>
      <c r="C37" s="89" t="s">
        <v>58</v>
      </c>
      <c r="D37" s="120"/>
      <c r="E37" s="121"/>
      <c r="G37" s="122"/>
      <c r="H37" s="120"/>
      <c r="I37" s="120"/>
      <c r="J37" s="120"/>
      <c r="K37" s="120"/>
      <c r="L37" s="120"/>
      <c r="M37" s="120"/>
      <c r="N37" s="120"/>
      <c r="O37" s="120"/>
      <c r="P37" s="121"/>
    </row>
    <row r="38" spans="2:16" x14ac:dyDescent="0.2">
      <c r="B38" s="122"/>
      <c r="C38" s="120"/>
      <c r="D38" s="120"/>
      <c r="E38" s="121"/>
      <c r="G38" s="122"/>
      <c r="H38" s="120"/>
      <c r="I38" s="120"/>
      <c r="J38" s="120"/>
      <c r="K38" s="120"/>
      <c r="L38" s="120"/>
      <c r="M38" s="120"/>
      <c r="N38" s="120"/>
      <c r="O38" s="120"/>
      <c r="P38" s="121"/>
    </row>
    <row r="39" spans="2:16" x14ac:dyDescent="0.2">
      <c r="B39" s="122"/>
      <c r="C39" s="120"/>
      <c r="D39" s="120"/>
      <c r="E39" s="121"/>
      <c r="G39" s="122"/>
      <c r="H39" s="120"/>
      <c r="I39" s="120"/>
      <c r="J39" s="120"/>
      <c r="K39" s="120"/>
      <c r="L39" s="120"/>
      <c r="M39" s="120"/>
      <c r="N39" s="120"/>
      <c r="O39" s="120"/>
      <c r="P39" s="121"/>
    </row>
    <row r="40" spans="2:16" x14ac:dyDescent="0.2">
      <c r="B40" s="122"/>
      <c r="C40" s="120"/>
      <c r="D40" s="120"/>
      <c r="E40" s="121"/>
      <c r="G40" s="122"/>
      <c r="H40" s="120"/>
      <c r="I40" s="120"/>
      <c r="J40" s="120"/>
      <c r="K40" s="120"/>
      <c r="L40" s="120"/>
      <c r="M40" s="120"/>
      <c r="N40" s="120"/>
      <c r="O40" s="120"/>
      <c r="P40" s="121"/>
    </row>
    <row r="41" spans="2:16" x14ac:dyDescent="0.2">
      <c r="B41" s="122"/>
      <c r="C41" s="120"/>
      <c r="D41" s="120"/>
      <c r="E41" s="121"/>
      <c r="G41" s="122"/>
      <c r="H41" s="120"/>
      <c r="I41" s="120"/>
      <c r="J41" s="120"/>
      <c r="K41" s="120"/>
      <c r="L41" s="120"/>
      <c r="M41" s="120"/>
      <c r="N41" s="120"/>
      <c r="O41" s="120"/>
      <c r="P41" s="121"/>
    </row>
    <row r="42" spans="2:16" x14ac:dyDescent="0.2">
      <c r="B42" s="122"/>
      <c r="C42" s="120"/>
      <c r="D42" s="120"/>
      <c r="E42" s="121"/>
      <c r="G42" s="122"/>
      <c r="H42" s="120"/>
      <c r="I42" s="120"/>
      <c r="J42" s="120"/>
      <c r="K42" s="120"/>
      <c r="L42" s="120"/>
      <c r="M42" s="120"/>
      <c r="N42" s="120"/>
      <c r="O42" s="120"/>
      <c r="P42" s="121"/>
    </row>
    <row r="43" spans="2:16" x14ac:dyDescent="0.2">
      <c r="B43" s="122"/>
      <c r="C43" s="120"/>
      <c r="D43" s="120"/>
      <c r="E43" s="121"/>
      <c r="G43" s="122"/>
      <c r="H43" s="120"/>
      <c r="I43" s="120"/>
      <c r="J43" s="120"/>
      <c r="K43" s="120"/>
      <c r="L43" s="120"/>
      <c r="M43" s="120"/>
      <c r="N43" s="120"/>
      <c r="O43" s="120"/>
      <c r="P43" s="121"/>
    </row>
    <row r="44" spans="2:16" x14ac:dyDescent="0.2">
      <c r="B44" s="122"/>
      <c r="C44" s="120"/>
      <c r="D44" s="120"/>
      <c r="E44" s="121"/>
      <c r="G44" s="122"/>
      <c r="H44" s="120"/>
      <c r="I44" s="120"/>
      <c r="J44" s="120"/>
      <c r="K44" s="120"/>
      <c r="L44" s="120"/>
      <c r="M44" s="120"/>
      <c r="N44" s="120"/>
      <c r="O44" s="120"/>
      <c r="P44" s="121"/>
    </row>
    <row r="45" spans="2:16" x14ac:dyDescent="0.2">
      <c r="B45" s="122"/>
      <c r="C45" s="120"/>
      <c r="D45" s="120"/>
      <c r="E45" s="121"/>
      <c r="G45" s="122"/>
      <c r="H45" s="120"/>
      <c r="I45" s="120"/>
      <c r="J45" s="120"/>
      <c r="K45" s="120"/>
      <c r="L45" s="120"/>
      <c r="M45" s="120"/>
      <c r="N45" s="120"/>
      <c r="O45" s="120"/>
      <c r="P45" s="121"/>
    </row>
    <row r="46" spans="2:16" x14ac:dyDescent="0.2">
      <c r="B46" s="122"/>
      <c r="C46" s="120"/>
      <c r="D46" s="120"/>
      <c r="E46" s="121"/>
      <c r="G46" s="122"/>
      <c r="H46" s="120"/>
      <c r="I46" s="120"/>
      <c r="J46" s="120"/>
      <c r="K46" s="120"/>
      <c r="L46" s="120"/>
      <c r="M46" s="120"/>
      <c r="N46" s="120"/>
      <c r="O46" s="120"/>
      <c r="P46" s="121"/>
    </row>
    <row r="47" spans="2:16" x14ac:dyDescent="0.2">
      <c r="B47" s="122"/>
      <c r="C47" s="120"/>
      <c r="D47" s="120"/>
      <c r="E47" s="121"/>
      <c r="G47" s="122"/>
      <c r="H47" s="120"/>
      <c r="I47" s="120"/>
      <c r="J47" s="120"/>
      <c r="K47" s="120"/>
      <c r="L47" s="120"/>
      <c r="M47" s="120"/>
      <c r="N47" s="120"/>
      <c r="O47" s="120"/>
      <c r="P47" s="121"/>
    </row>
    <row r="48" spans="2:16" x14ac:dyDescent="0.2">
      <c r="B48" s="122"/>
      <c r="C48" s="120"/>
      <c r="D48" s="120"/>
      <c r="E48" s="121"/>
      <c r="G48" s="123"/>
      <c r="H48" s="124"/>
      <c r="I48" s="124"/>
      <c r="J48" s="124"/>
      <c r="K48" s="124"/>
      <c r="L48" s="124"/>
      <c r="M48" s="124"/>
      <c r="N48" s="124"/>
      <c r="O48" s="124"/>
      <c r="P48" s="125"/>
    </row>
    <row r="49" spans="2:5" x14ac:dyDescent="0.2">
      <c r="B49" s="122"/>
      <c r="C49" s="120"/>
      <c r="D49" s="120"/>
      <c r="E49" s="121"/>
    </row>
    <row r="50" spans="2:5" x14ac:dyDescent="0.2">
      <c r="B50" s="122"/>
      <c r="C50" s="120"/>
      <c r="D50" s="120"/>
      <c r="E50" s="121"/>
    </row>
    <row r="51" spans="2:5" x14ac:dyDescent="0.2">
      <c r="B51" s="122"/>
      <c r="C51" s="120"/>
      <c r="D51" s="120"/>
      <c r="E51" s="121"/>
    </row>
    <row r="52" spans="2:5" x14ac:dyDescent="0.2">
      <c r="B52" s="122"/>
      <c r="C52" s="120"/>
      <c r="D52" s="120"/>
      <c r="E52" s="121"/>
    </row>
    <row r="53" spans="2:5" x14ac:dyDescent="0.2">
      <c r="B53" s="122"/>
      <c r="C53" s="120"/>
      <c r="D53" s="120"/>
      <c r="E53" s="121"/>
    </row>
    <row r="54" spans="2:5" x14ac:dyDescent="0.2">
      <c r="B54" s="122"/>
      <c r="C54" s="120"/>
      <c r="D54" s="120"/>
      <c r="E54" s="121"/>
    </row>
    <row r="55" spans="2:5" x14ac:dyDescent="0.2">
      <c r="B55" s="122"/>
      <c r="C55" s="120"/>
      <c r="D55" s="120"/>
      <c r="E55" s="121"/>
    </row>
    <row r="56" spans="2:5" x14ac:dyDescent="0.2">
      <c r="B56" s="122"/>
      <c r="C56" s="120"/>
      <c r="D56" s="120"/>
      <c r="E56" s="121"/>
    </row>
    <row r="57" spans="2:5" x14ac:dyDescent="0.2">
      <c r="B57" s="122"/>
      <c r="C57" s="120"/>
      <c r="D57" s="120"/>
      <c r="E57" s="121"/>
    </row>
    <row r="58" spans="2:5" x14ac:dyDescent="0.2">
      <c r="B58" s="122"/>
      <c r="C58" s="120"/>
      <c r="D58" s="120"/>
      <c r="E58" s="121"/>
    </row>
    <row r="59" spans="2:5" x14ac:dyDescent="0.2">
      <c r="B59" s="122"/>
      <c r="C59" s="120"/>
      <c r="D59" s="120"/>
      <c r="E59" s="121"/>
    </row>
    <row r="60" spans="2:5" x14ac:dyDescent="0.2">
      <c r="B60" s="122"/>
      <c r="C60" s="120"/>
      <c r="D60" s="120"/>
      <c r="E60" s="121"/>
    </row>
    <row r="61" spans="2:5" x14ac:dyDescent="0.2">
      <c r="B61" s="122"/>
      <c r="C61" s="120"/>
      <c r="D61" s="120"/>
      <c r="E61" s="121"/>
    </row>
    <row r="62" spans="2:5" x14ac:dyDescent="0.2">
      <c r="B62" s="122"/>
      <c r="C62" s="120"/>
      <c r="D62" s="120"/>
      <c r="E62" s="121"/>
    </row>
    <row r="63" spans="2:5" x14ac:dyDescent="0.2">
      <c r="B63" s="122"/>
      <c r="C63" s="120"/>
      <c r="D63" s="120"/>
      <c r="E63" s="121"/>
    </row>
    <row r="64" spans="2:5" x14ac:dyDescent="0.2">
      <c r="B64" s="122"/>
      <c r="C64" s="120"/>
      <c r="D64" s="120"/>
      <c r="E64" s="121"/>
    </row>
    <row r="65" spans="2:5" x14ac:dyDescent="0.2">
      <c r="B65" s="122"/>
      <c r="C65" s="120"/>
      <c r="D65" s="120"/>
      <c r="E65" s="121"/>
    </row>
    <row r="66" spans="2:5" x14ac:dyDescent="0.2">
      <c r="B66" s="122"/>
      <c r="C66" s="120"/>
      <c r="D66" s="120"/>
      <c r="E66" s="121"/>
    </row>
    <row r="67" spans="2:5" ht="13.5" x14ac:dyDescent="0.2">
      <c r="B67" s="122"/>
      <c r="C67" s="89" t="s">
        <v>133</v>
      </c>
      <c r="D67" s="120"/>
      <c r="E67" s="121"/>
    </row>
    <row r="68" spans="2:5" ht="13.5" x14ac:dyDescent="0.2">
      <c r="B68" s="122"/>
      <c r="C68" s="89" t="s">
        <v>59</v>
      </c>
      <c r="D68" s="120"/>
      <c r="E68" s="121"/>
    </row>
    <row r="69" spans="2:5" x14ac:dyDescent="0.2">
      <c r="B69" s="122"/>
      <c r="C69" s="120"/>
      <c r="D69" s="120"/>
      <c r="E69" s="121"/>
    </row>
    <row r="70" spans="2:5" x14ac:dyDescent="0.2">
      <c r="B70" s="122"/>
      <c r="C70" s="120"/>
      <c r="D70" s="120"/>
      <c r="E70" s="121"/>
    </row>
    <row r="71" spans="2:5" x14ac:dyDescent="0.2">
      <c r="B71" s="122"/>
      <c r="C71" s="120"/>
      <c r="D71" s="120"/>
      <c r="E71" s="121"/>
    </row>
    <row r="72" spans="2:5" x14ac:dyDescent="0.2">
      <c r="B72" s="122"/>
      <c r="C72" s="120"/>
      <c r="D72" s="120"/>
      <c r="E72" s="121"/>
    </row>
    <row r="73" spans="2:5" x14ac:dyDescent="0.2">
      <c r="B73" s="122"/>
      <c r="C73" s="120"/>
      <c r="D73" s="120"/>
      <c r="E73" s="121"/>
    </row>
    <row r="74" spans="2:5" x14ac:dyDescent="0.2">
      <c r="B74" s="122"/>
      <c r="C74" s="120"/>
      <c r="D74" s="120"/>
      <c r="E74" s="121"/>
    </row>
    <row r="75" spans="2:5" x14ac:dyDescent="0.2">
      <c r="B75" s="122"/>
      <c r="C75" s="120"/>
      <c r="D75" s="120"/>
      <c r="E75" s="121"/>
    </row>
    <row r="76" spans="2:5" x14ac:dyDescent="0.2">
      <c r="B76" s="122"/>
      <c r="C76" s="120"/>
      <c r="D76" s="120"/>
      <c r="E76" s="121"/>
    </row>
    <row r="77" spans="2:5" x14ac:dyDescent="0.2">
      <c r="B77" s="122"/>
      <c r="C77" s="120"/>
      <c r="D77" s="120"/>
      <c r="E77" s="121"/>
    </row>
    <row r="78" spans="2:5" x14ac:dyDescent="0.2">
      <c r="B78" s="122"/>
      <c r="C78" s="120"/>
      <c r="D78" s="120"/>
      <c r="E78" s="121"/>
    </row>
    <row r="79" spans="2:5" x14ac:dyDescent="0.2">
      <c r="B79" s="122"/>
      <c r="C79" s="120"/>
      <c r="D79" s="120"/>
      <c r="E79" s="121"/>
    </row>
    <row r="80" spans="2:5" x14ac:dyDescent="0.2">
      <c r="B80" s="122"/>
      <c r="C80" s="120"/>
      <c r="D80" s="120"/>
      <c r="E80" s="121"/>
    </row>
    <row r="81" spans="2:5" x14ac:dyDescent="0.2">
      <c r="B81" s="123"/>
      <c r="C81" s="124"/>
      <c r="D81" s="124"/>
      <c r="E81" s="125"/>
    </row>
  </sheetData>
  <phoneticPr fontId="15" type="noConversion"/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>Normal.dotm</Template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14</vt:i4>
      </vt:variant>
      <vt:variant>
        <vt:lpstr>이름이 지정된 범위</vt:lpstr>
      </vt:variant>
      <vt:variant>
        <vt:i4>2</vt:i4>
      </vt:variant>
    </vt:vector>
  </HeadingPairs>
  <TitlesOfParts>
    <vt:vector size="16" baseType="lpstr">
      <vt:lpstr>요주의 이하 대체투자자산 목록</vt:lpstr>
      <vt:lpstr>김포 대포</vt:lpstr>
      <vt:lpstr>오산 외삼미동</vt:lpstr>
      <vt:lpstr>파주 운정</vt:lpstr>
      <vt:lpstr>강릉 송정동</vt:lpstr>
      <vt:lpstr>김해 대동</vt:lpstr>
      <vt:lpstr>남원 관광단지</vt:lpstr>
      <vt:lpstr>대전 문화동</vt:lpstr>
      <vt:lpstr>부산 명지동</vt:lpstr>
      <vt:lpstr>익산 중앙동</vt:lpstr>
      <vt:lpstr>연신내</vt:lpstr>
      <vt:lpstr>부산 양정동</vt:lpstr>
      <vt:lpstr>죽전 데이터센터</vt:lpstr>
      <vt:lpstr>울산 신정동</vt:lpstr>
      <vt:lpstr>'부산 양정동'!Print_Area</vt:lpstr>
      <vt:lpstr>'파주 운정'!Print_Area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SAP WebAS</dc:creator>
  <cp:keywords/>
  <dc:description/>
  <cp:lastModifiedBy>User</cp:lastModifiedBy>
  <cp:revision>1</cp:revision>
  <dcterms:created xsi:type="dcterms:W3CDTF">2024-03-28T07:22:46Z</dcterms:created>
  <dcterms:modified xsi:type="dcterms:W3CDTF">2024-07-31T07:58:26Z</dcterms:modified>
  <cp:category/>
</cp:coreProperties>
</file>